
<file path=[Content_Types].xml><?xml version="1.0" encoding="utf-8"?>
<Types xmlns="http://schemas.openxmlformats.org/package/2006/content-types"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1"/>
  <workbookPr/>
  <mc:AlternateContent xmlns:mc="http://schemas.openxmlformats.org/markup-compatibility/2006">
    <mc:Choice Requires="x15">
      <x15ac:absPath xmlns:x15ac="http://schemas.microsoft.com/office/spreadsheetml/2010/11/ac" url="/Users/leandrocarbone/Drive Usal/Producción LIFT/03 Leandro/"/>
    </mc:Choice>
  </mc:AlternateContent>
  <xr:revisionPtr revIDLastSave="0" documentId="13_ncr:1_{971653EB-C2CF-E447-AE2A-FB82AEBAC042}" xr6:coauthVersionLast="47" xr6:coauthVersionMax="47" xr10:uidLastSave="{00000000-0000-0000-0000-000000000000}"/>
  <bookViews>
    <workbookView xWindow="0" yWindow="500" windowWidth="38400" windowHeight="19420" activeTab="1" xr2:uid="{00000000-000D-0000-FFFF-FFFF00000000}"/>
  </bookViews>
  <sheets>
    <sheet name="Respuestas de formulario 1" sheetId="1" r:id="rId1"/>
    <sheet name="Dashboard" sheetId="2" r:id="rId2"/>
    <sheet name="Perfil Jugadores" sheetId="5" r:id="rId3"/>
    <sheet name="Ref" sheetId="3" r:id="rId4"/>
    <sheet name="Imagenes" sheetId="4" r:id="rId5"/>
  </sheets>
  <definedNames>
    <definedName name="_xlnm.Print_Area" localSheetId="1">Dashboard!$A$1:$L$40</definedName>
    <definedName name="Headshotlookup">INDEX(Imagenes!$B:$B,MATCH(Dashboard!$A$5,Imagenes!$A:$A,0))</definedName>
  </definedNames>
  <calcPr calcId="191029"/>
</workbook>
</file>

<file path=xl/calcChain.xml><?xml version="1.0" encoding="utf-8"?>
<calcChain xmlns="http://schemas.openxmlformats.org/spreadsheetml/2006/main">
  <c r="H10" i="2" l="1"/>
  <c r="AA2" i="1"/>
  <c r="Z2" i="1"/>
  <c r="Y2" i="1"/>
  <c r="X2" i="1"/>
  <c r="W2" i="1"/>
  <c r="V2" i="1"/>
  <c r="U2" i="1"/>
  <c r="S2" i="1"/>
  <c r="T2" i="1"/>
  <c r="R2" i="1"/>
  <c r="C3" i="2"/>
  <c r="K3" i="1"/>
  <c r="K2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D27" i="2"/>
  <c r="D26" i="2"/>
  <c r="E22" i="2" l="1"/>
  <c r="E20" i="2"/>
  <c r="E23" i="2"/>
  <c r="E21" i="2"/>
  <c r="E18" i="2"/>
  <c r="E19" i="2"/>
  <c r="O19" i="3"/>
  <c r="N19" i="3" s="1"/>
  <c r="M19" i="3" s="1"/>
  <c r="L19" i="3" s="1"/>
  <c r="K19" i="3" s="1"/>
  <c r="J19" i="3" s="1"/>
  <c r="I19" i="3" s="1"/>
  <c r="H19" i="3" s="1"/>
  <c r="G19" i="3" s="1"/>
  <c r="F19" i="3" s="1"/>
  <c r="F24" i="3" s="1" a="1"/>
  <c r="F24" i="3" s="1"/>
  <c r="F23" i="3" s="1"/>
  <c r="C1" i="2"/>
  <c r="S8" i="3"/>
  <c r="T8" i="3" s="1"/>
  <c r="S7" i="3"/>
  <c r="T7" i="3" s="1"/>
  <c r="S6" i="3"/>
  <c r="T6" i="3" s="1"/>
  <c r="S5" i="3"/>
  <c r="T5" i="3" s="1"/>
  <c r="S4" i="3"/>
  <c r="T4" i="3" s="1"/>
  <c r="S3" i="3"/>
  <c r="T3" i="3" s="1"/>
  <c r="N3" i="1"/>
  <c r="N2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D9" i="2" s="1" a="1"/>
  <c r="D9" i="2" s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O24" i="3" l="1" a="1"/>
  <c r="O24" i="3" s="1"/>
  <c r="O23" i="3" s="1"/>
  <c r="N24" i="3" a="1"/>
  <c r="N24" i="3" s="1"/>
  <c r="N23" i="3" s="1"/>
  <c r="L24" i="3" a="1"/>
  <c r="L24" i="3" s="1"/>
  <c r="L23" i="3" s="1"/>
  <c r="K24" i="3" a="1"/>
  <c r="K24" i="3" s="1"/>
  <c r="K23" i="3" s="1"/>
  <c r="J24" i="3" a="1"/>
  <c r="J24" i="3" s="1"/>
  <c r="J23" i="3" s="1"/>
  <c r="H24" i="3" a="1"/>
  <c r="H24" i="3" s="1"/>
  <c r="M24" i="3" a="1"/>
  <c r="M24" i="3" s="1"/>
  <c r="I24" i="3" a="1"/>
  <c r="I24" i="3" s="1"/>
  <c r="G24" i="3" a="1"/>
  <c r="G24" i="3" s="1"/>
  <c r="G23" i="3" s="1"/>
  <c r="Q10" i="3"/>
  <c r="C13" i="2" s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D8" i="2"/>
  <c r="D7" i="2"/>
  <c r="D6" i="2"/>
  <c r="M3" i="1"/>
  <c r="M2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D5" i="2"/>
  <c r="L3" i="1"/>
  <c r="L2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O3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O2" i="3"/>
  <c r="AA3" i="1"/>
  <c r="AA4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Z3" i="1"/>
  <c r="Z4" i="1"/>
  <c r="Z5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Y3" i="1"/>
  <c r="Y4" i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X3" i="1"/>
  <c r="X4" i="1"/>
  <c r="X5" i="1"/>
  <c r="X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W3" i="1"/>
  <c r="W4" i="1"/>
  <c r="W5" i="1"/>
  <c r="W6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V3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U3" i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T3" i="1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S3" i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R3" i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J18" i="1"/>
  <c r="J19" i="1"/>
  <c r="D17" i="2" s="1"/>
  <c r="C25" i="2"/>
  <c r="C4" i="2"/>
  <c r="D23" i="2"/>
  <c r="D22" i="2"/>
  <c r="D21" i="2"/>
  <c r="D20" i="2"/>
  <c r="D19" i="2"/>
  <c r="D18" i="2"/>
  <c r="P55" i="1"/>
  <c r="O55" i="1"/>
  <c r="P54" i="1"/>
  <c r="O54" i="1"/>
  <c r="P53" i="1"/>
  <c r="O53" i="1"/>
  <c r="P52" i="1"/>
  <c r="O52" i="1"/>
  <c r="P51" i="1"/>
  <c r="O51" i="1"/>
  <c r="P50" i="1"/>
  <c r="O50" i="1"/>
  <c r="P49" i="1"/>
  <c r="O49" i="1"/>
  <c r="P48" i="1"/>
  <c r="O48" i="1"/>
  <c r="P47" i="1"/>
  <c r="O47" i="1"/>
  <c r="P46" i="1"/>
  <c r="O46" i="1"/>
  <c r="P45" i="1"/>
  <c r="O45" i="1"/>
  <c r="P44" i="1"/>
  <c r="O44" i="1"/>
  <c r="P43" i="1"/>
  <c r="O43" i="1"/>
  <c r="P42" i="1"/>
  <c r="O42" i="1"/>
  <c r="P41" i="1"/>
  <c r="O41" i="1"/>
  <c r="P40" i="1"/>
  <c r="O40" i="1"/>
  <c r="P39" i="1"/>
  <c r="O39" i="1"/>
  <c r="P38" i="1"/>
  <c r="O38" i="1"/>
  <c r="P37" i="1"/>
  <c r="O37" i="1"/>
  <c r="P36" i="1"/>
  <c r="O36" i="1"/>
  <c r="P35" i="1"/>
  <c r="O35" i="1"/>
  <c r="P34" i="1"/>
  <c r="O34" i="1"/>
  <c r="P33" i="1"/>
  <c r="O33" i="1"/>
  <c r="P32" i="1"/>
  <c r="O32" i="1"/>
  <c r="P31" i="1"/>
  <c r="O31" i="1"/>
  <c r="P30" i="1"/>
  <c r="O30" i="1"/>
  <c r="P29" i="1"/>
  <c r="O29" i="1"/>
  <c r="P28" i="1"/>
  <c r="O28" i="1"/>
  <c r="P27" i="1"/>
  <c r="O27" i="1"/>
  <c r="P26" i="1"/>
  <c r="O26" i="1"/>
  <c r="P25" i="1"/>
  <c r="O25" i="1"/>
  <c r="P24" i="1"/>
  <c r="O24" i="1"/>
  <c r="P23" i="1"/>
  <c r="O23" i="1"/>
  <c r="P22" i="1"/>
  <c r="O22" i="1"/>
  <c r="P21" i="1"/>
  <c r="O21" i="1"/>
  <c r="P20" i="1"/>
  <c r="O20" i="1"/>
  <c r="P19" i="1"/>
  <c r="O19" i="1"/>
  <c r="P18" i="1"/>
  <c r="O18" i="1"/>
  <c r="P17" i="1"/>
  <c r="O17" i="1"/>
  <c r="J17" i="1"/>
  <c r="P16" i="1"/>
  <c r="O16" i="1"/>
  <c r="J16" i="1"/>
  <c r="P15" i="1"/>
  <c r="O15" i="1"/>
  <c r="J15" i="1"/>
  <c r="P14" i="1"/>
  <c r="O14" i="1"/>
  <c r="J14" i="1"/>
  <c r="P13" i="1"/>
  <c r="O13" i="1"/>
  <c r="J13" i="1"/>
  <c r="P12" i="1"/>
  <c r="O12" i="1"/>
  <c r="J12" i="1"/>
  <c r="P11" i="1"/>
  <c r="O11" i="1"/>
  <c r="J11" i="1"/>
  <c r="P10" i="1"/>
  <c r="O10" i="1"/>
  <c r="J10" i="1"/>
  <c r="P9" i="1"/>
  <c r="O9" i="1"/>
  <c r="J9" i="1"/>
  <c r="P8" i="1"/>
  <c r="O8" i="1"/>
  <c r="J8" i="1"/>
  <c r="P7" i="1"/>
  <c r="O7" i="1"/>
  <c r="J7" i="1"/>
  <c r="P6" i="1"/>
  <c r="O6" i="1"/>
  <c r="J6" i="1"/>
  <c r="P5" i="1"/>
  <c r="O5" i="1"/>
  <c r="J5" i="1"/>
  <c r="P4" i="1"/>
  <c r="O4" i="1"/>
  <c r="J4" i="1"/>
  <c r="P3" i="1"/>
  <c r="J3" i="1"/>
  <c r="P2" i="1"/>
  <c r="O2" i="1"/>
  <c r="J2" i="1"/>
  <c r="E17" i="2" l="1"/>
  <c r="F17" i="2" s="1"/>
  <c r="AC2" i="1"/>
  <c r="AB2" i="1"/>
  <c r="K22" i="3"/>
  <c r="L22" i="3"/>
  <c r="AC12" i="1"/>
  <c r="O21" i="3"/>
  <c r="O22" i="3" s="1"/>
  <c r="O20" i="3"/>
  <c r="M23" i="3"/>
  <c r="M22" i="3"/>
  <c r="F19" i="2"/>
  <c r="H19" i="2"/>
  <c r="F20" i="2"/>
  <c r="H20" i="2"/>
  <c r="F21" i="2"/>
  <c r="H21" i="2"/>
  <c r="H22" i="2"/>
  <c r="F22" i="2"/>
  <c r="H23" i="2"/>
  <c r="F23" i="2"/>
  <c r="F18" i="2"/>
  <c r="H18" i="2"/>
  <c r="O5" i="3"/>
  <c r="AC13" i="1"/>
  <c r="AB49" i="1"/>
  <c r="AB25" i="1"/>
  <c r="AC44" i="1"/>
  <c r="AC36" i="1"/>
  <c r="AC7" i="1"/>
  <c r="AB48" i="1"/>
  <c r="AB40" i="1"/>
  <c r="AB32" i="1"/>
  <c r="AB24" i="1"/>
  <c r="AB16" i="1"/>
  <c r="AB8" i="1"/>
  <c r="AC51" i="1"/>
  <c r="AC43" i="1"/>
  <c r="AC35" i="1"/>
  <c r="AC27" i="1"/>
  <c r="AC19" i="1"/>
  <c r="AC11" i="1"/>
  <c r="AC3" i="1"/>
  <c r="AB55" i="1"/>
  <c r="AB47" i="1"/>
  <c r="AB39" i="1"/>
  <c r="AB31" i="1"/>
  <c r="AB23" i="1"/>
  <c r="AB15" i="1"/>
  <c r="AB7" i="1"/>
  <c r="AC50" i="1"/>
  <c r="AC42" i="1"/>
  <c r="AC34" i="1"/>
  <c r="AC26" i="1"/>
  <c r="AC18" i="1"/>
  <c r="AC10" i="1"/>
  <c r="AC20" i="1"/>
  <c r="O3" i="3"/>
  <c r="AB41" i="1"/>
  <c r="AB17" i="1"/>
  <c r="AC52" i="1"/>
  <c r="AB38" i="1"/>
  <c r="AB14" i="1"/>
  <c r="AC5" i="1"/>
  <c r="G10" i="3"/>
  <c r="AB53" i="1"/>
  <c r="AB45" i="1"/>
  <c r="AB37" i="1"/>
  <c r="AB29" i="1"/>
  <c r="AB21" i="1"/>
  <c r="AB13" i="1"/>
  <c r="AB5" i="1"/>
  <c r="AC48" i="1"/>
  <c r="AC40" i="1"/>
  <c r="AC32" i="1"/>
  <c r="AC16" i="1"/>
  <c r="AB52" i="1"/>
  <c r="AB44" i="1"/>
  <c r="AB36" i="1"/>
  <c r="AB28" i="1"/>
  <c r="AB20" i="1"/>
  <c r="AB12" i="1"/>
  <c r="AB4" i="1"/>
  <c r="AC55" i="1"/>
  <c r="AC47" i="1"/>
  <c r="AC39" i="1"/>
  <c r="AC31" i="1"/>
  <c r="AC23" i="1"/>
  <c r="AC15" i="1"/>
  <c r="AC28" i="1"/>
  <c r="AB46" i="1"/>
  <c r="AB22" i="1"/>
  <c r="AC49" i="1"/>
  <c r="AC41" i="1"/>
  <c r="AC33" i="1"/>
  <c r="AC25" i="1"/>
  <c r="AC17" i="1"/>
  <c r="AC24" i="1"/>
  <c r="AB51" i="1"/>
  <c r="AB43" i="1"/>
  <c r="AB35" i="1"/>
  <c r="AB27" i="1"/>
  <c r="AB19" i="1"/>
  <c r="AB11" i="1"/>
  <c r="AB3" i="1"/>
  <c r="AC54" i="1"/>
  <c r="AC46" i="1"/>
  <c r="AC38" i="1"/>
  <c r="AC30" i="1"/>
  <c r="AC22" i="1"/>
  <c r="AC14" i="1"/>
  <c r="AB33" i="1"/>
  <c r="AB9" i="1"/>
  <c r="AB54" i="1"/>
  <c r="AB30" i="1"/>
  <c r="AB6" i="1"/>
  <c r="AB50" i="1"/>
  <c r="AB42" i="1"/>
  <c r="AB34" i="1"/>
  <c r="AB26" i="1"/>
  <c r="AB18" i="1"/>
  <c r="AB10" i="1"/>
  <c r="AC53" i="1"/>
  <c r="AC45" i="1"/>
  <c r="AC37" i="1"/>
  <c r="AC29" i="1"/>
  <c r="AC21" i="1"/>
  <c r="AC8" i="1"/>
  <c r="AC6" i="1"/>
  <c r="AC4" i="1"/>
  <c r="AC9" i="1"/>
  <c r="E14" i="3"/>
  <c r="G12" i="3" s="1"/>
  <c r="I12" i="3" s="1"/>
  <c r="I10" i="2"/>
  <c r="E11" i="3"/>
  <c r="E12" i="3"/>
  <c r="E13" i="3"/>
  <c r="E10" i="3"/>
  <c r="O4" i="3"/>
  <c r="N2" i="3"/>
  <c r="Q3" i="1"/>
  <c r="Q55" i="1"/>
  <c r="Q47" i="1"/>
  <c r="Q50" i="1"/>
  <c r="Q53" i="1"/>
  <c r="Q44" i="1"/>
  <c r="Q39" i="1"/>
  <c r="Q31" i="1"/>
  <c r="Q23" i="1"/>
  <c r="Q14" i="1"/>
  <c r="Q10" i="1"/>
  <c r="Q52" i="1"/>
  <c r="Q49" i="1"/>
  <c r="Q42" i="1"/>
  <c r="Q34" i="1"/>
  <c r="Q26" i="1"/>
  <c r="Q18" i="1"/>
  <c r="Q46" i="1"/>
  <c r="Q37" i="1"/>
  <c r="Q29" i="1"/>
  <c r="Q21" i="1"/>
  <c r="Q15" i="1"/>
  <c r="Q11" i="1"/>
  <c r="Q38" i="1"/>
  <c r="Q30" i="1"/>
  <c r="Q43" i="1"/>
  <c r="Q41" i="1"/>
  <c r="Q40" i="1"/>
  <c r="Q27" i="1"/>
  <c r="Q25" i="1"/>
  <c r="Q24" i="1"/>
  <c r="Q7" i="1"/>
  <c r="Q4" i="1"/>
  <c r="Q51" i="1"/>
  <c r="Q32" i="1"/>
  <c r="Q28" i="1"/>
  <c r="Q45" i="1"/>
  <c r="Q19" i="1"/>
  <c r="Q12" i="1"/>
  <c r="Q9" i="1"/>
  <c r="Q35" i="1"/>
  <c r="Q33" i="1"/>
  <c r="Q17" i="1"/>
  <c r="Q48" i="1"/>
  <c r="Q36" i="1"/>
  <c r="Q5" i="1"/>
  <c r="Q20" i="1"/>
  <c r="Q13" i="1"/>
  <c r="Q16" i="1"/>
  <c r="Q22" i="1"/>
  <c r="Q54" i="1"/>
  <c r="Q8" i="1"/>
  <c r="Q6" i="1"/>
  <c r="Q2" i="1"/>
  <c r="N5" i="3" l="1"/>
  <c r="N21" i="3"/>
  <c r="N22" i="3" s="1"/>
  <c r="N20" i="3"/>
  <c r="H17" i="2"/>
  <c r="N4" i="3"/>
  <c r="N3" i="3"/>
  <c r="M2" i="3"/>
  <c r="M5" i="3" l="1"/>
  <c r="M21" i="3"/>
  <c r="M20" i="3"/>
  <c r="M4" i="3"/>
  <c r="M3" i="3"/>
  <c r="L2" i="3"/>
  <c r="L5" i="3" l="1"/>
  <c r="L21" i="3"/>
  <c r="L20" i="3"/>
  <c r="L4" i="3"/>
  <c r="L3" i="3"/>
  <c r="K2" i="3"/>
  <c r="K5" i="3" l="1"/>
  <c r="K21" i="3"/>
  <c r="K20" i="3"/>
  <c r="K4" i="3"/>
  <c r="K3" i="3"/>
  <c r="J2" i="3"/>
  <c r="J5" i="3" l="1"/>
  <c r="J21" i="3"/>
  <c r="J22" i="3" s="1"/>
  <c r="J20" i="3"/>
  <c r="J4" i="3"/>
  <c r="J3" i="3"/>
  <c r="I2" i="3"/>
  <c r="I5" i="3" l="1"/>
  <c r="I20" i="3"/>
  <c r="I21" i="3"/>
  <c r="I4" i="3"/>
  <c r="I3" i="3"/>
  <c r="H2" i="3"/>
  <c r="H5" i="3" l="1"/>
  <c r="H20" i="3"/>
  <c r="H21" i="3"/>
  <c r="I23" i="3"/>
  <c r="I22" i="3"/>
  <c r="H4" i="3"/>
  <c r="H3" i="3"/>
  <c r="G2" i="3"/>
  <c r="G5" i="3" l="1"/>
  <c r="G21" i="3"/>
  <c r="G22" i="3" s="1"/>
  <c r="G20" i="3"/>
  <c r="H23" i="3"/>
  <c r="H22" i="3"/>
  <c r="G4" i="3"/>
  <c r="G3" i="3"/>
  <c r="F2" i="3"/>
  <c r="F5" i="3" l="1"/>
  <c r="F21" i="3"/>
  <c r="F22" i="3" s="1"/>
  <c r="F20" i="3"/>
  <c r="F4" i="3"/>
  <c r="F3" i="3"/>
</calcChain>
</file>

<file path=xl/sharedStrings.xml><?xml version="1.0" encoding="utf-8"?>
<sst xmlns="http://schemas.openxmlformats.org/spreadsheetml/2006/main" count="232" uniqueCount="84">
  <si>
    <t>Fecha</t>
  </si>
  <si>
    <t>Promedio Estrés</t>
  </si>
  <si>
    <t>DS Estrés</t>
  </si>
  <si>
    <t>Z Score Estrés</t>
  </si>
  <si>
    <t xml:space="preserve">Fecha </t>
  </si>
  <si>
    <t>Estrés</t>
  </si>
  <si>
    <t>DOMS</t>
  </si>
  <si>
    <t>Energia</t>
  </si>
  <si>
    <t>Fatiga</t>
  </si>
  <si>
    <t>General</t>
  </si>
  <si>
    <t>Readiness</t>
  </si>
  <si>
    <t>Sueño</t>
  </si>
  <si>
    <t>Energía</t>
  </si>
  <si>
    <t>Comparison List</t>
  </si>
  <si>
    <t>Atleta</t>
  </si>
  <si>
    <t>Nombre</t>
  </si>
  <si>
    <t>Últimos X Días</t>
  </si>
  <si>
    <t>Readiness OT</t>
  </si>
  <si>
    <t>Readiness OT Graph Data</t>
  </si>
  <si>
    <t>EMA Días</t>
  </si>
  <si>
    <t>Score Del Día</t>
  </si>
  <si>
    <t>Deporte</t>
  </si>
  <si>
    <t>Peso (kg)</t>
  </si>
  <si>
    <t>Full</t>
  </si>
  <si>
    <t>Parcial</t>
  </si>
  <si>
    <t>Readiness Gauge</t>
  </si>
  <si>
    <t>Malo</t>
  </si>
  <si>
    <t>Animal!</t>
  </si>
  <si>
    <t>Muerto!</t>
  </si>
  <si>
    <t>Promedio</t>
  </si>
  <si>
    <t>Bueno</t>
  </si>
  <si>
    <t>Estatus</t>
  </si>
  <si>
    <t>Vs Máximo</t>
  </si>
  <si>
    <t>Último</t>
  </si>
  <si>
    <t>Comparativa</t>
  </si>
  <si>
    <t>score Z</t>
  </si>
  <si>
    <t>Promedio Sueño</t>
  </si>
  <si>
    <t>DS Sueño</t>
  </si>
  <si>
    <t>Promedio DOMS</t>
  </si>
  <si>
    <t>DS DOMS</t>
  </si>
  <si>
    <t>Promedio Energía</t>
  </si>
  <si>
    <t>DS Energía</t>
  </si>
  <si>
    <t>Promedio Fatiga</t>
  </si>
  <si>
    <t>DS Fatiga</t>
  </si>
  <si>
    <t>Promedio General</t>
  </si>
  <si>
    <t>DS General</t>
  </si>
  <si>
    <t>Promedio Readiness</t>
  </si>
  <si>
    <t>DS Readiness</t>
  </si>
  <si>
    <t xml:space="preserve"> </t>
  </si>
  <si>
    <t>Altura</t>
  </si>
  <si>
    <t>Peso</t>
  </si>
  <si>
    <t>Futbol</t>
  </si>
  <si>
    <t>Altura (cm)</t>
  </si>
  <si>
    <t>Puesto</t>
  </si>
  <si>
    <t>Defensor</t>
  </si>
  <si>
    <t>Disponibilidad</t>
  </si>
  <si>
    <t>Imagen</t>
  </si>
  <si>
    <t>Jugador 1</t>
  </si>
  <si>
    <t>Jugador 2</t>
  </si>
  <si>
    <t>Jugador 3</t>
  </si>
  <si>
    <t>Jugador 4</t>
  </si>
  <si>
    <t>Delantero</t>
  </si>
  <si>
    <t>Agudo</t>
  </si>
  <si>
    <t>Crónico</t>
  </si>
  <si>
    <t>Dispo</t>
  </si>
  <si>
    <t>Lesión</t>
  </si>
  <si>
    <t>Texto Comparativo</t>
  </si>
  <si>
    <t>Vs Media Propia</t>
  </si>
  <si>
    <t xml:space="preserve">Vs Media Diaria Del Deporte </t>
  </si>
  <si>
    <t>Vs Media Diaria Del Puesto</t>
  </si>
  <si>
    <t>Vs Media Propia De X Días</t>
  </si>
  <si>
    <t>Vs Media Del Deporte De X Días</t>
  </si>
  <si>
    <t>Vs Media Del Puesto De X Días</t>
  </si>
  <si>
    <t>Readiness Lesión</t>
  </si>
  <si>
    <t xml:space="preserve">Media Móvil </t>
  </si>
  <si>
    <t>Media Móvil Lesión</t>
  </si>
  <si>
    <t>Media Móvil Parcial</t>
  </si>
  <si>
    <t>Equipo</t>
  </si>
  <si>
    <r>
      <rPr>
        <b/>
        <sz val="10"/>
        <color rgb="FF92D050"/>
        <rFont val="Chalkboard SE Regular"/>
      </rPr>
      <t>Full</t>
    </r>
    <r>
      <rPr>
        <b/>
        <sz val="10"/>
        <color rgb="FF000000"/>
        <rFont val="Chalkboard SE Regular"/>
      </rPr>
      <t xml:space="preserve">
</t>
    </r>
    <r>
      <rPr>
        <b/>
        <sz val="10"/>
        <color rgb="FFFFC000"/>
        <rFont val="Chalkboard SE Regular"/>
      </rPr>
      <t>Parcial</t>
    </r>
    <r>
      <rPr>
        <b/>
        <sz val="10"/>
        <color rgb="FF000000"/>
        <rFont val="Chalkboard SE Regular"/>
      </rPr>
      <t xml:space="preserve">
</t>
    </r>
    <r>
      <rPr>
        <b/>
        <sz val="10"/>
        <color rgb="FFFF0000"/>
        <rFont val="Chalkboard SE Regular"/>
      </rPr>
      <t>Lesión</t>
    </r>
  </si>
  <si>
    <t>Comparación</t>
  </si>
  <si>
    <t>Seleccionar Métrica</t>
  </si>
  <si>
    <t>Fecha De Readiness</t>
  </si>
  <si>
    <t>EQUIPO 1</t>
  </si>
  <si>
    <t>EQUIPO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</si>
</sst>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0">
    <font>
      <sz val="10"/>
      <color rgb="FF00000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000000"/>
      <name val="Chalkboard SE Regular"/>
    </font>
    <font>
      <sz val="24"/>
      <color rgb="FF000000"/>
      <name val="Seravek"/>
      <family val="2"/>
    </font>
    <font>
      <sz val="10"/>
      <color rgb="FF000000"/>
      <name val="Seravek"/>
      <family val="2"/>
    </font>
    <font>
      <sz val="12"/>
      <color rgb="FF000000"/>
      <name val="Seravek"/>
      <family val="2"/>
    </font>
    <font>
      <sz val="10"/>
      <color theme="1"/>
      <name val="Seravek"/>
      <family val="2"/>
    </font>
    <font>
      <b/>
      <sz val="10"/>
      <color theme="1"/>
      <name val="Seravek"/>
      <family val="2"/>
    </font>
    <font>
      <sz val="14"/>
      <color theme="0"/>
      <name val="Seravek"/>
      <family val="2"/>
    </font>
    <font>
      <b/>
      <sz val="16"/>
      <color theme="0"/>
      <name val="Seravek"/>
      <family val="2"/>
    </font>
    <font>
      <b/>
      <sz val="14"/>
      <color rgb="FF000000"/>
      <name val="Seravek"/>
      <family val="2"/>
    </font>
    <font>
      <b/>
      <sz val="14"/>
      <name val="Seravek"/>
      <family val="2"/>
    </font>
    <font>
      <b/>
      <sz val="12"/>
      <color rgb="FF000000"/>
      <name val="Seravek"/>
      <family val="2"/>
    </font>
    <font>
      <i/>
      <sz val="9"/>
      <color rgb="FF000000"/>
      <name val="Seravek"/>
      <family val="2"/>
    </font>
    <font>
      <b/>
      <sz val="12"/>
      <name val="Seravek"/>
      <family val="2"/>
    </font>
    <font>
      <sz val="14"/>
      <color rgb="FF000000"/>
      <name val="Seravek"/>
      <family val="2"/>
    </font>
    <font>
      <b/>
      <sz val="24"/>
      <color theme="0"/>
      <name val="Seravek"/>
      <family val="2"/>
    </font>
    <font>
      <sz val="12"/>
      <color theme="1"/>
      <name val="Seravek"/>
      <family val="2"/>
    </font>
    <font>
      <i/>
      <sz val="12"/>
      <color theme="3" tint="0.499984740745262"/>
      <name val="Chalkboard SE Regular"/>
    </font>
    <font>
      <sz val="16"/>
      <color rgb="FF000000"/>
      <name val="Chalkboard SE Regular"/>
    </font>
    <font>
      <b/>
      <sz val="10"/>
      <color rgb="FF000000"/>
      <name val="Chalkboard SE Regular"/>
    </font>
    <font>
      <b/>
      <sz val="10"/>
      <color rgb="FF92D050"/>
      <name val="Chalkboard SE Regular"/>
    </font>
    <font>
      <b/>
      <sz val="10"/>
      <color rgb="FFFFC000"/>
      <name val="Chalkboard SE Regular"/>
    </font>
    <font>
      <b/>
      <sz val="10"/>
      <color rgb="FFFF0000"/>
      <name val="Chalkboard SE Regular"/>
    </font>
    <font>
      <b/>
      <sz val="18"/>
      <color rgb="FF000000"/>
      <name val="Seravek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76">
    <xf numFmtId="0" fontId="0" fillId="0" borderId="0" xfId="0" applyFont="1" applyAlignmen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" fontId="1" fillId="0" borderId="0" xfId="0" applyNumberFormat="1" applyFont="1" applyAlignment="1">
      <alignment horizontal="center" vertical="center"/>
    </xf>
    <xf numFmtId="14" fontId="1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2" fontId="3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4" fontId="0" fillId="0" borderId="0" xfId="0" applyNumberFormat="1" applyFont="1" applyAlignment="1"/>
    <xf numFmtId="2" fontId="0" fillId="0" borderId="0" xfId="0" applyNumberFormat="1" applyFont="1" applyAlignment="1"/>
    <xf numFmtId="2" fontId="1" fillId="0" borderId="0" xfId="0" applyNumberFormat="1" applyFont="1" applyAlignment="1">
      <alignment horizontal="center"/>
    </xf>
    <xf numFmtId="2" fontId="5" fillId="0" borderId="0" xfId="0" applyNumberFormat="1" applyFont="1" applyAlignment="1">
      <alignment horizontal="center"/>
    </xf>
    <xf numFmtId="9" fontId="0" fillId="0" borderId="0" xfId="1" applyFont="1" applyAlignment="1"/>
    <xf numFmtId="9" fontId="0" fillId="0" borderId="0" xfId="0" applyNumberFormat="1" applyFont="1" applyAlignment="1"/>
    <xf numFmtId="0" fontId="7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0" fillId="5" borderId="0" xfId="0" applyFont="1" applyFill="1" applyAlignment="1">
      <alignment vertical="center"/>
    </xf>
    <xf numFmtId="0" fontId="3" fillId="5" borderId="0" xfId="0" applyFont="1" applyFill="1" applyAlignment="1">
      <alignment horizontal="center" vertical="center"/>
    </xf>
    <xf numFmtId="0" fontId="0" fillId="5" borderId="0" xfId="0" applyFont="1" applyFill="1" applyAlignment="1"/>
    <xf numFmtId="0" fontId="6" fillId="0" borderId="0" xfId="0" applyFont="1" applyAlignment="1"/>
    <xf numFmtId="0" fontId="0" fillId="2" borderId="0" xfId="0" applyFont="1" applyFill="1" applyAlignment="1"/>
    <xf numFmtId="0" fontId="6" fillId="2" borderId="0" xfId="0" applyFont="1" applyFill="1" applyAlignment="1"/>
    <xf numFmtId="0" fontId="8" fillId="2" borderId="0" xfId="0" applyFont="1" applyFill="1" applyAlignment="1">
      <alignment horizontal="left" vertical="center"/>
    </xf>
    <xf numFmtId="0" fontId="9" fillId="5" borderId="0" xfId="0" applyFont="1" applyFill="1" applyAlignment="1">
      <alignment vertical="center"/>
    </xf>
    <xf numFmtId="0" fontId="10" fillId="5" borderId="0" xfId="0" applyFont="1" applyFill="1" applyAlignment="1">
      <alignment horizontal="left" vertical="center"/>
    </xf>
    <xf numFmtId="14" fontId="11" fillId="5" borderId="0" xfId="0" applyNumberFormat="1" applyFont="1" applyFill="1" applyAlignment="1">
      <alignment horizontal="center" vertical="center" wrapText="1"/>
    </xf>
    <xf numFmtId="0" fontId="11" fillId="5" borderId="0" xfId="0" applyFont="1" applyFill="1" applyAlignment="1">
      <alignment horizontal="center" vertical="center" wrapText="1"/>
    </xf>
    <xf numFmtId="0" fontId="12" fillId="5" borderId="0" xfId="0" applyFont="1" applyFill="1" applyAlignment="1">
      <alignment horizontal="center" vertical="center" wrapText="1"/>
    </xf>
    <xf numFmtId="0" fontId="11" fillId="5" borderId="0" xfId="0" applyFont="1" applyFill="1" applyAlignment="1">
      <alignment horizontal="center" vertical="center"/>
    </xf>
    <xf numFmtId="0" fontId="9" fillId="4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9" fillId="3" borderId="0" xfId="0" applyFont="1" applyFill="1" applyAlignment="1">
      <alignment vertical="center"/>
    </xf>
    <xf numFmtId="9" fontId="17" fillId="4" borderId="0" xfId="1" applyFont="1" applyFill="1" applyAlignment="1">
      <alignment horizontal="center" vertical="center"/>
    </xf>
    <xf numFmtId="0" fontId="9" fillId="5" borderId="0" xfId="0" applyFont="1" applyFill="1" applyAlignment="1"/>
    <xf numFmtId="0" fontId="9" fillId="5" borderId="0" xfId="0" applyFont="1" applyFill="1" applyAlignment="1">
      <alignment horizontal="center"/>
    </xf>
    <xf numFmtId="0" fontId="18" fillId="4" borderId="0" xfId="0" applyFont="1" applyFill="1" applyAlignment="1">
      <alignment horizontal="center" vertical="center"/>
    </xf>
    <xf numFmtId="0" fontId="19" fillId="4" borderId="0" xfId="0" applyFont="1" applyFill="1" applyAlignment="1">
      <alignment horizontal="left" vertical="center" wrapText="1"/>
    </xf>
    <xf numFmtId="0" fontId="10" fillId="4" borderId="0" xfId="0" applyFont="1" applyFill="1" applyAlignment="1">
      <alignment horizontal="center" vertical="center"/>
    </xf>
    <xf numFmtId="164" fontId="10" fillId="4" borderId="0" xfId="0" applyNumberFormat="1" applyFont="1" applyFill="1" applyAlignment="1">
      <alignment horizontal="center" vertical="center"/>
    </xf>
    <xf numFmtId="9" fontId="9" fillId="4" borderId="0" xfId="1" applyFont="1" applyFill="1" applyAlignment="1">
      <alignment horizontal="center" vertical="center"/>
    </xf>
    <xf numFmtId="2" fontId="20" fillId="5" borderId="0" xfId="0" applyNumberFormat="1" applyFont="1" applyFill="1" applyAlignment="1">
      <alignment horizontal="center" vertical="center"/>
    </xf>
    <xf numFmtId="0" fontId="19" fillId="4" borderId="0" xfId="0" applyFont="1" applyFill="1" applyAlignment="1">
      <alignment horizontal="left" vertical="center"/>
    </xf>
    <xf numFmtId="0" fontId="9" fillId="4" borderId="0" xfId="0" applyFont="1" applyFill="1" applyAlignment="1">
      <alignment horizontal="left" vertical="center"/>
    </xf>
    <xf numFmtId="0" fontId="17" fillId="4" borderId="0" xfId="0" applyFont="1" applyFill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/>
    <xf numFmtId="0" fontId="6" fillId="0" borderId="0" xfId="0" applyNumberFormat="1" applyFont="1" applyAlignment="1"/>
    <xf numFmtId="2" fontId="1" fillId="0" borderId="0" xfId="0" applyNumberFormat="1" applyFont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0" fillId="0" borderId="0" xfId="0" applyFont="1" applyFill="1" applyAlignment="1"/>
    <xf numFmtId="0" fontId="0" fillId="0" borderId="0" xfId="0" applyFont="1" applyFill="1" applyBorder="1" applyAlignment="1"/>
    <xf numFmtId="0" fontId="0" fillId="0" borderId="0" xfId="0"/>
    <xf numFmtId="2" fontId="2" fillId="0" borderId="0" xfId="0" applyNumberFormat="1" applyFont="1" applyAlignment="1">
      <alignment horizontal="center" vertical="center" wrapText="1"/>
    </xf>
    <xf numFmtId="2" fontId="4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0" fontId="15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5" borderId="0" xfId="0" applyFont="1" applyFill="1" applyAlignment="1">
      <alignment vertical="center"/>
    </xf>
    <xf numFmtId="0" fontId="6" fillId="0" borderId="0" xfId="0" applyFont="1"/>
    <xf numFmtId="0" fontId="24" fillId="5" borderId="0" xfId="0" applyFont="1" applyFill="1" applyAlignment="1"/>
    <xf numFmtId="2" fontId="0" fillId="0" borderId="0" xfId="0" applyNumberFormat="1" applyFont="1" applyAlignment="1">
      <alignment horizontal="center"/>
    </xf>
    <xf numFmtId="0" fontId="15" fillId="2" borderId="0" xfId="0" applyFont="1" applyFill="1" applyAlignment="1">
      <alignment horizontal="center" vertical="center"/>
    </xf>
    <xf numFmtId="0" fontId="13" fillId="7" borderId="0" xfId="0" applyFont="1" applyFill="1" applyAlignment="1">
      <alignment horizontal="center" vertical="center"/>
    </xf>
    <xf numFmtId="0" fontId="14" fillId="7" borderId="0" xfId="0" applyFont="1" applyFill="1" applyAlignment="1">
      <alignment horizontal="center" vertical="center"/>
    </xf>
    <xf numFmtId="14" fontId="16" fillId="2" borderId="0" xfId="0" applyNumberFormat="1" applyFont="1" applyFill="1" applyAlignment="1">
      <alignment horizontal="center" vertical="center" wrapText="1"/>
    </xf>
    <xf numFmtId="0" fontId="15" fillId="2" borderId="0" xfId="0" applyNumberFormat="1" applyFont="1" applyFill="1" applyAlignment="1">
      <alignment horizontal="center" vertical="center"/>
    </xf>
    <xf numFmtId="0" fontId="21" fillId="6" borderId="0" xfId="0" applyFont="1" applyFill="1" applyAlignment="1">
      <alignment horizontal="center" vertical="center"/>
    </xf>
    <xf numFmtId="0" fontId="23" fillId="5" borderId="0" xfId="0" applyFont="1" applyFill="1" applyAlignment="1">
      <alignment horizontal="center" vertical="center" wrapText="1"/>
    </xf>
    <xf numFmtId="0" fontId="25" fillId="5" borderId="0" xfId="0" applyFont="1" applyFill="1" applyAlignment="1">
      <alignment horizontal="left" vertical="top" wrapText="1"/>
    </xf>
    <xf numFmtId="0" fontId="7" fillId="5" borderId="0" xfId="0" applyFont="1" applyFill="1" applyAlignment="1">
      <alignment horizontal="left" vertical="top" wrapText="1"/>
    </xf>
    <xf numFmtId="0" fontId="29" fillId="5" borderId="0" xfId="0" applyFont="1" applyFill="1" applyAlignment="1">
      <alignment horizontal="center" vertical="center"/>
    </xf>
  </cellXfs>
  <cellStyles count="2">
    <cellStyle name="Normal" xfId="0" builtinId="0"/>
    <cellStyle name="Porcentaje" xfId="1" builtinId="5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2" formatCode="0.00"/>
    </dxf>
    <dxf>
      <numFmt numFmtId="0" formatCode="General"/>
    </dxf>
    <dxf>
      <numFmt numFmtId="0" formatCode="General"/>
    </dxf>
    <dxf>
      <numFmt numFmtId="0" formatCode="General"/>
    </dxf>
    <dxf>
      <numFmt numFmtId="2" formatCode="0.00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2" formatCode="0.00"/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843794095421375"/>
          <c:y val="0.11835479757858831"/>
          <c:w val="0.52331887524837417"/>
          <c:h val="0.77259957976771776"/>
        </c:manualLayout>
      </c:layout>
      <c:doughnutChart>
        <c:varyColors val="1"/>
        <c:ser>
          <c:idx val="0"/>
          <c:order val="0"/>
          <c:spPr>
            <a:ln>
              <a:noFill/>
            </a:ln>
          </c:spPr>
          <c:dPt>
            <c:idx val="0"/>
            <c:bubble3D val="0"/>
            <c:spPr>
              <a:solidFill>
                <a:srgbClr val="FF000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C2C-3145-B1A9-76AAF62CE792}"/>
              </c:ext>
            </c:extLst>
          </c:dPt>
          <c:dPt>
            <c:idx val="1"/>
            <c:bubble3D val="0"/>
            <c:spPr>
              <a:solidFill>
                <a:srgbClr val="FFC00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C2C-3145-B1A9-76AAF62CE792}"/>
              </c:ext>
            </c:extLst>
          </c:dPt>
          <c:dPt>
            <c:idx val="2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C2C-3145-B1A9-76AAF62CE792}"/>
              </c:ext>
            </c:extLst>
          </c:dPt>
          <c:dPt>
            <c:idx val="3"/>
            <c:bubble3D val="0"/>
            <c:spPr>
              <a:solidFill>
                <a:srgbClr val="92D05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C2C-3145-B1A9-76AAF62CE792}"/>
              </c:ext>
            </c:extLst>
          </c:dPt>
          <c:dPt>
            <c:idx val="4"/>
            <c:bubble3D val="0"/>
            <c:spPr>
              <a:solidFill>
                <a:srgbClr val="00B05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9C2C-3145-B1A9-76AAF62CE792}"/>
              </c:ext>
            </c:extLst>
          </c:dPt>
          <c:dPt>
            <c:idx val="5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9C2C-3145-B1A9-76AAF62CE792}"/>
              </c:ext>
            </c:extLst>
          </c:dPt>
          <c:val>
            <c:numLit>
              <c:formatCode>General</c:formatCode>
              <c:ptCount val="6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5</c:v>
              </c:pt>
            </c:numLit>
          </c:val>
          <c:extLst>
            <c:ext xmlns:c16="http://schemas.microsoft.com/office/drawing/2014/chart" uri="{C3380CC4-5D6E-409C-BE32-E72D297353CC}">
              <c16:uniqueId val="{0000000C-9C2C-3145-B1A9-76AAF62CE7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  <c:holeSize val="30"/>
      </c:doughnutChart>
      <c:pieChart>
        <c:varyColors val="1"/>
        <c:ser>
          <c:idx val="1"/>
          <c:order val="1"/>
          <c:spPr>
            <a:ln>
              <a:noFill/>
            </a:ln>
          </c:spPr>
          <c:dPt>
            <c:idx val="0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9C2C-3145-B1A9-76AAF62CE792}"/>
              </c:ext>
            </c:extLst>
          </c:dPt>
          <c:dPt>
            <c:idx val="1"/>
            <c:bubble3D val="0"/>
            <c:spPr>
              <a:solidFill>
                <a:schemeClr val="tx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9C2C-3145-B1A9-76AAF62CE792}"/>
              </c:ext>
            </c:extLst>
          </c:dPt>
          <c:dPt>
            <c:idx val="2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9C2C-3145-B1A9-76AAF62CE792}"/>
              </c:ext>
            </c:extLst>
          </c:dPt>
          <c:val>
            <c:numRef>
              <c:f>Ref!$G$12:$I$12</c:f>
              <c:numCache>
                <c:formatCode>General</c:formatCode>
                <c:ptCount val="3"/>
                <c:pt idx="0" formatCode="0%">
                  <c:v>0.70833333333333337</c:v>
                </c:pt>
                <c:pt idx="1">
                  <c:v>0.03</c:v>
                </c:pt>
                <c:pt idx="2" formatCode="0%">
                  <c:v>1.2616666666666667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9C2C-3145-B1A9-76AAF62CE7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Ref!$E$20</c:f>
              <c:strCache>
                <c:ptCount val="1"/>
                <c:pt idx="0">
                  <c:v>Score Del Día</c:v>
                </c:pt>
              </c:strCache>
            </c:strRef>
          </c:tx>
          <c:spPr>
            <a:gradFill>
              <a:gsLst>
                <a:gs pos="0">
                  <a:schemeClr val="tx1"/>
                </a:gs>
                <a:gs pos="100000">
                  <a:schemeClr val="accent3">
                    <a:lumMod val="75000"/>
                  </a:schemeClr>
                </a:gs>
                <a:gs pos="100000">
                  <a:schemeClr val="accent3">
                    <a:lumMod val="75000"/>
                  </a:schemeClr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bg1"/>
                    </a:solidFill>
                    <a:latin typeface="Chalkboard SE" panose="03050602040202020205" pitchFamily="66" charset="77"/>
                    <a:ea typeface="+mn-ea"/>
                    <a:cs typeface="+mn-cs"/>
                  </a:defRPr>
                </a:pPr>
                <a:endParaRPr lang="es-A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Ref!$F$19:$O$19</c:f>
              <c:numCache>
                <c:formatCode>m/d/yy</c:formatCode>
                <c:ptCount val="10"/>
                <c:pt idx="0">
                  <c:v>44393</c:v>
                </c:pt>
                <c:pt idx="1">
                  <c:v>44396</c:v>
                </c:pt>
                <c:pt idx="2">
                  <c:v>44397</c:v>
                </c:pt>
                <c:pt idx="3">
                  <c:v>44398</c:v>
                </c:pt>
                <c:pt idx="4">
                  <c:v>44399</c:v>
                </c:pt>
                <c:pt idx="5">
                  <c:v>44400</c:v>
                </c:pt>
                <c:pt idx="6">
                  <c:v>44401</c:v>
                </c:pt>
                <c:pt idx="7">
                  <c:v>44403</c:v>
                </c:pt>
                <c:pt idx="8">
                  <c:v>44405</c:v>
                </c:pt>
                <c:pt idx="9">
                  <c:v>44406</c:v>
                </c:pt>
              </c:numCache>
            </c:numRef>
          </c:cat>
          <c:val>
            <c:numRef>
              <c:f>Ref!$F$20:$O$20</c:f>
              <c:numCache>
                <c:formatCode>General</c:formatCode>
                <c:ptCount val="10"/>
                <c:pt idx="0">
                  <c:v>22</c:v>
                </c:pt>
                <c:pt idx="1">
                  <c:v>23</c:v>
                </c:pt>
                <c:pt idx="2">
                  <c:v>21</c:v>
                </c:pt>
                <c:pt idx="3">
                  <c:v>22</c:v>
                </c:pt>
                <c:pt idx="4">
                  <c:v>17</c:v>
                </c:pt>
                <c:pt idx="5">
                  <c:v>21</c:v>
                </c:pt>
                <c:pt idx="6">
                  <c:v>24</c:v>
                </c:pt>
                <c:pt idx="7">
                  <c:v>22</c:v>
                </c:pt>
                <c:pt idx="8">
                  <c:v>21</c:v>
                </c:pt>
                <c:pt idx="9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EB-3B48-86EA-F2DDE434D4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overlap val="-50"/>
        <c:axId val="1521047727"/>
        <c:axId val="1521178415"/>
      </c:barChart>
      <c:lineChart>
        <c:grouping val="standard"/>
        <c:varyColors val="0"/>
        <c:ser>
          <c:idx val="1"/>
          <c:order val="1"/>
          <c:tx>
            <c:strRef>
              <c:f>Ref!$E$21</c:f>
              <c:strCache>
                <c:ptCount val="1"/>
                <c:pt idx="0">
                  <c:v>Media Móvil </c:v>
                </c:pt>
              </c:strCache>
            </c:strRef>
          </c:tx>
          <c:spPr>
            <a:ln w="31750" cap="rnd">
              <a:solidFill>
                <a:srgbClr val="92D050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rgbClr val="92D050"/>
              </a:solidFill>
              <a:ln w="9525">
                <a:noFill/>
              </a:ln>
              <a:effectLst/>
            </c:spPr>
          </c:marker>
          <c:cat>
            <c:numRef>
              <c:f>Ref!$F$19:$O$19</c:f>
              <c:numCache>
                <c:formatCode>m/d/yy</c:formatCode>
                <c:ptCount val="10"/>
                <c:pt idx="0">
                  <c:v>44393</c:v>
                </c:pt>
                <c:pt idx="1">
                  <c:v>44396</c:v>
                </c:pt>
                <c:pt idx="2">
                  <c:v>44397</c:v>
                </c:pt>
                <c:pt idx="3">
                  <c:v>44398</c:v>
                </c:pt>
                <c:pt idx="4">
                  <c:v>44399</c:v>
                </c:pt>
                <c:pt idx="5">
                  <c:v>44400</c:v>
                </c:pt>
                <c:pt idx="6">
                  <c:v>44401</c:v>
                </c:pt>
                <c:pt idx="7">
                  <c:v>44403</c:v>
                </c:pt>
                <c:pt idx="8">
                  <c:v>44405</c:v>
                </c:pt>
                <c:pt idx="9">
                  <c:v>44406</c:v>
                </c:pt>
              </c:numCache>
            </c:numRef>
          </c:cat>
          <c:val>
            <c:numRef>
              <c:f>Ref!$F$21:$O$21</c:f>
              <c:numCache>
                <c:formatCode>0.00</c:formatCode>
                <c:ptCount val="10"/>
                <c:pt idx="0">
                  <c:v>20.399999999999999</c:v>
                </c:pt>
                <c:pt idx="1">
                  <c:v>20.833333333333332</c:v>
                </c:pt>
                <c:pt idx="2">
                  <c:v>20.333333333333332</c:v>
                </c:pt>
                <c:pt idx="3">
                  <c:v>20.833333333333332</c:v>
                </c:pt>
                <c:pt idx="4">
                  <c:v>20.166666666666668</c:v>
                </c:pt>
                <c:pt idx="5">
                  <c:v>21</c:v>
                </c:pt>
                <c:pt idx="6">
                  <c:v>21.333333333333332</c:v>
                </c:pt>
                <c:pt idx="7">
                  <c:v>21.428571428571427</c:v>
                </c:pt>
                <c:pt idx="8">
                  <c:v>21.166666666666668</c:v>
                </c:pt>
                <c:pt idx="9">
                  <c:v>20.333333333333332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EB-3B48-86EA-F2DDE434D4DB}"/>
            </c:ext>
          </c:extLst>
        </c:ser>
        <c:ser>
          <c:idx val="2"/>
          <c:order val="2"/>
          <c:tx>
            <c:strRef>
              <c:f>Ref!$E$22</c:f>
              <c:strCache>
                <c:ptCount val="1"/>
                <c:pt idx="0">
                  <c:v>Media Móvil Parcial</c:v>
                </c:pt>
              </c:strCache>
            </c:strRef>
          </c:tx>
          <c:spPr>
            <a:ln w="31750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rgbClr val="FFC000"/>
              </a:solidFill>
              <a:ln w="9525">
                <a:noFill/>
              </a:ln>
              <a:effectLst/>
            </c:spPr>
          </c:marker>
          <c:cat>
            <c:numRef>
              <c:f>Ref!$F$19:$O$19</c:f>
              <c:numCache>
                <c:formatCode>m/d/yy</c:formatCode>
                <c:ptCount val="10"/>
                <c:pt idx="0">
                  <c:v>44393</c:v>
                </c:pt>
                <c:pt idx="1">
                  <c:v>44396</c:v>
                </c:pt>
                <c:pt idx="2">
                  <c:v>44397</c:v>
                </c:pt>
                <c:pt idx="3">
                  <c:v>44398</c:v>
                </c:pt>
                <c:pt idx="4">
                  <c:v>44399</c:v>
                </c:pt>
                <c:pt idx="5">
                  <c:v>44400</c:v>
                </c:pt>
                <c:pt idx="6">
                  <c:v>44401</c:v>
                </c:pt>
                <c:pt idx="7">
                  <c:v>44403</c:v>
                </c:pt>
                <c:pt idx="8">
                  <c:v>44405</c:v>
                </c:pt>
                <c:pt idx="9">
                  <c:v>44406</c:v>
                </c:pt>
              </c:numCache>
            </c:numRef>
          </c:cat>
          <c:val>
            <c:numRef>
              <c:f>Ref!$F$22:$O$22</c:f>
              <c:numCache>
                <c:formatCode>0.00</c:formatCode>
                <c:ptCount val="10"/>
                <c:pt idx="0">
                  <c:v>20.399999999999999</c:v>
                </c:pt>
                <c:pt idx="1">
                  <c:v>20.833333333333332</c:v>
                </c:pt>
                <c:pt idx="2">
                  <c:v>#N/A</c:v>
                </c:pt>
                <c:pt idx="3">
                  <c:v>#N/A</c:v>
                </c:pt>
                <c:pt idx="4">
                  <c:v>20.166666666666668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8EB-3B48-86EA-F2DDE434D4DB}"/>
            </c:ext>
          </c:extLst>
        </c:ser>
        <c:ser>
          <c:idx val="3"/>
          <c:order val="3"/>
          <c:tx>
            <c:strRef>
              <c:f>Ref!$E$23</c:f>
              <c:strCache>
                <c:ptCount val="1"/>
                <c:pt idx="0">
                  <c:v>Media Móvil Lesión</c:v>
                </c:pt>
              </c:strCache>
            </c:strRef>
          </c:tx>
          <c:spPr>
            <a:ln w="317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cat>
            <c:numRef>
              <c:f>Ref!$F$19:$O$19</c:f>
              <c:numCache>
                <c:formatCode>m/d/yy</c:formatCode>
                <c:ptCount val="10"/>
                <c:pt idx="0">
                  <c:v>44393</c:v>
                </c:pt>
                <c:pt idx="1">
                  <c:v>44396</c:v>
                </c:pt>
                <c:pt idx="2">
                  <c:v>44397</c:v>
                </c:pt>
                <c:pt idx="3">
                  <c:v>44398</c:v>
                </c:pt>
                <c:pt idx="4">
                  <c:v>44399</c:v>
                </c:pt>
                <c:pt idx="5">
                  <c:v>44400</c:v>
                </c:pt>
                <c:pt idx="6">
                  <c:v>44401</c:v>
                </c:pt>
                <c:pt idx="7">
                  <c:v>44403</c:v>
                </c:pt>
                <c:pt idx="8">
                  <c:v>44405</c:v>
                </c:pt>
                <c:pt idx="9">
                  <c:v>44406</c:v>
                </c:pt>
              </c:numCache>
            </c:numRef>
          </c:cat>
          <c:val>
            <c:numRef>
              <c:f>Ref!$F$23:$O$23</c:f>
              <c:numCache>
                <c:formatCode>0.00</c:formatCode>
                <c:ptCount val="10"/>
                <c:pt idx="0">
                  <c:v>#N/A</c:v>
                </c:pt>
                <c:pt idx="1">
                  <c:v>#N/A</c:v>
                </c:pt>
                <c:pt idx="2">
                  <c:v>20.333333333333332</c:v>
                </c:pt>
                <c:pt idx="3">
                  <c:v>20.833333333333332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8EB-3B48-86EA-F2DDE434D4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21047727"/>
        <c:axId val="1521178415"/>
      </c:lineChart>
      <c:catAx>
        <c:axId val="1521047727"/>
        <c:scaling>
          <c:orientation val="minMax"/>
        </c:scaling>
        <c:delete val="0"/>
        <c:axPos val="b"/>
        <c:numFmt formatCode="m/d/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halkboard SE" panose="03050602040202020205" pitchFamily="66" charset="77"/>
                <a:ea typeface="+mn-ea"/>
                <a:cs typeface="+mn-cs"/>
              </a:defRPr>
            </a:pPr>
            <a:endParaRPr lang="es-AR"/>
          </a:p>
        </c:txPr>
        <c:crossAx val="1521178415"/>
        <c:crosses val="autoZero"/>
        <c:auto val="0"/>
        <c:lblAlgn val="ctr"/>
        <c:lblOffset val="100"/>
        <c:noMultiLvlLbl val="1"/>
      </c:catAx>
      <c:valAx>
        <c:axId val="1521178415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halkboard SE" panose="03050602040202020205" pitchFamily="66" charset="77"/>
                <a:ea typeface="+mn-ea"/>
                <a:cs typeface="+mn-cs"/>
              </a:defRPr>
            </a:pPr>
            <a:endParaRPr lang="es-AR"/>
          </a:p>
        </c:txPr>
        <c:crossAx val="15210477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800">
          <a:latin typeface="Chalkboard SE" panose="03050602040202020205" pitchFamily="66" charset="77"/>
        </a:defRPr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6" Type="http://schemas.openxmlformats.org/officeDocument/2006/relationships/chart" Target="../charts/chart2.xml"/><Relationship Id="rId5" Type="http://schemas.openxmlformats.org/officeDocument/2006/relationships/image" Target="../media/image4.emf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jpeg"/><Relationship Id="rId2" Type="http://schemas.openxmlformats.org/officeDocument/2006/relationships/image" Target="../media/image7.jpeg"/><Relationship Id="rId1" Type="http://schemas.openxmlformats.org/officeDocument/2006/relationships/image" Target="../media/image6.jpeg"/><Relationship Id="rId4" Type="http://schemas.openxmlformats.org/officeDocument/2006/relationships/image" Target="../media/image9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227110</xdr:colOff>
      <xdr:row>0</xdr:row>
      <xdr:rowOff>426561</xdr:rowOff>
    </xdr:from>
    <xdr:to>
      <xdr:col>10</xdr:col>
      <xdr:colOff>223426</xdr:colOff>
      <xdr:row>13</xdr:row>
      <xdr:rowOff>43552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459F642-C88C-EE45-A5A6-9F8190FDA8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489783</xdr:colOff>
      <xdr:row>7</xdr:row>
      <xdr:rowOff>96665</xdr:rowOff>
    </xdr:from>
    <xdr:to>
      <xdr:col>8</xdr:col>
      <xdr:colOff>705683</xdr:colOff>
      <xdr:row>8</xdr:row>
      <xdr:rowOff>41560</xdr:rowOff>
    </xdr:to>
    <xdr:sp macro="" textlink="">
      <xdr:nvSpPr>
        <xdr:cNvPr id="5" name="Elipse 4">
          <a:extLst>
            <a:ext uri="{FF2B5EF4-FFF2-40B4-BE49-F238E27FC236}">
              <a16:creationId xmlns:a16="http://schemas.microsoft.com/office/drawing/2014/main" id="{FC307F3B-89DF-8F4C-A316-30750431B223}"/>
            </a:ext>
          </a:extLst>
        </xdr:cNvPr>
        <xdr:cNvSpPr/>
      </xdr:nvSpPr>
      <xdr:spPr>
        <a:xfrm>
          <a:off x="7909876" y="1660646"/>
          <a:ext cx="215900" cy="238877"/>
        </a:xfrm>
        <a:prstGeom prst="ellipse">
          <a:avLst/>
        </a:prstGeom>
        <a:solidFill>
          <a:schemeClr val="tx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 editAs="oneCell">
    <xdr:from>
      <xdr:col>7</xdr:col>
      <xdr:colOff>10672</xdr:colOff>
      <xdr:row>4</xdr:row>
      <xdr:rowOff>42689</xdr:rowOff>
    </xdr:from>
    <xdr:to>
      <xdr:col>7</xdr:col>
      <xdr:colOff>480252</xdr:colOff>
      <xdr:row>6</xdr:row>
      <xdr:rowOff>0</xdr:rowOff>
    </xdr:to>
    <xdr:pic>
      <xdr:nvPicPr>
        <xdr:cNvPr id="7" name="Gráfico 6" descr="Batería cargando">
          <a:extLst>
            <a:ext uri="{FF2B5EF4-FFF2-40B4-BE49-F238E27FC236}">
              <a16:creationId xmlns:a16="http://schemas.microsoft.com/office/drawing/2014/main" id="{B2368981-3B1F-7441-AA81-0A20E5554E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 rot="16200000">
          <a:off x="7075714" y="832437"/>
          <a:ext cx="469580" cy="469580"/>
        </a:xfrm>
        <a:prstGeom prst="rect">
          <a:avLst/>
        </a:prstGeom>
      </xdr:spPr>
    </xdr:pic>
    <xdr:clientData/>
  </xdr:twoCellAnchor>
  <xdr:twoCellAnchor editAs="oneCell">
    <xdr:from>
      <xdr:col>7</xdr:col>
      <xdr:colOff>1078559</xdr:colOff>
      <xdr:row>16</xdr:row>
      <xdr:rowOff>143841</xdr:rowOff>
    </xdr:from>
    <xdr:to>
      <xdr:col>9</xdr:col>
      <xdr:colOff>1087529</xdr:colOff>
      <xdr:row>19</xdr:row>
      <xdr:rowOff>233680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1E3745EC-86F4-1743-A9B2-3395F569F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414079" y="3130881"/>
          <a:ext cx="2223850" cy="851839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12078</xdr:colOff>
          <xdr:row>4</xdr:row>
          <xdr:rowOff>21012</xdr:rowOff>
        </xdr:from>
        <xdr:to>
          <xdr:col>5</xdr:col>
          <xdr:colOff>924559</xdr:colOff>
          <xdr:row>9</xdr:row>
          <xdr:rowOff>243840</xdr:rowOff>
        </xdr:to>
        <xdr:pic>
          <xdr:nvPicPr>
            <xdr:cNvPr id="9" name="Imagen 8">
              <a:extLst>
                <a:ext uri="{FF2B5EF4-FFF2-40B4-BE49-F238E27FC236}">
                  <a16:creationId xmlns:a16="http://schemas.microsoft.com/office/drawing/2014/main" id="{711B4106-7C5A-3247-A1D7-47263FC25AD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Headshotlookup" spid="_x0000_s1265"/>
                </a:ext>
              </a:extLst>
            </xdr:cNvPicPr>
          </xdr:nvPicPr>
          <xdr:blipFill>
            <a:blip xmlns:r="http://schemas.openxmlformats.org/officeDocument/2006/relationships" r:embed="rId5"/>
            <a:srcRect/>
            <a:stretch>
              <a:fillRect/>
            </a:stretch>
          </xdr:blipFill>
          <xdr:spPr bwMode="auto">
            <a:xfrm>
              <a:off x="4015118" y="996372"/>
              <a:ext cx="1837041" cy="1482668"/>
            </a:xfrm>
            <a:prstGeom prst="rect">
              <a:avLst/>
            </a:prstGeom>
            <a:noFill/>
            <a:ln>
              <a:noFill/>
            </a:ln>
          </xdr:spPr>
        </xdr:pic>
        <xdr:clientData/>
      </xdr:twoCellAnchor>
    </mc:Choice>
    <mc:Fallback/>
  </mc:AlternateContent>
  <xdr:twoCellAnchor>
    <xdr:from>
      <xdr:col>2</xdr:col>
      <xdr:colOff>203200</xdr:colOff>
      <xdr:row>25</xdr:row>
      <xdr:rowOff>0</xdr:rowOff>
    </xdr:from>
    <xdr:to>
      <xdr:col>10</xdr:col>
      <xdr:colOff>0</xdr:colOff>
      <xdr:row>42</xdr:row>
      <xdr:rowOff>132080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97DC8F89-C26F-9149-9A8B-BD8E6F9184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905425</xdr:colOff>
      <xdr:row>25</xdr:row>
      <xdr:rowOff>44357</xdr:rowOff>
    </xdr:from>
    <xdr:to>
      <xdr:col>2</xdr:col>
      <xdr:colOff>965880</xdr:colOff>
      <xdr:row>25</xdr:row>
      <xdr:rowOff>176566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20CF3D74-C3BD-A744-B808-0577716562C6}"/>
            </a:ext>
          </a:extLst>
        </xdr:cNvPr>
        <xdr:cNvSpPr/>
      </xdr:nvSpPr>
      <xdr:spPr>
        <a:xfrm>
          <a:off x="2785025" y="6079397"/>
          <a:ext cx="60455" cy="132209"/>
        </a:xfrm>
        <a:prstGeom prst="rect">
          <a:avLst/>
        </a:prstGeom>
        <a:gradFill flip="none" rotWithShape="1">
          <a:gsLst>
            <a:gs pos="100000">
              <a:schemeClr val="accent3">
                <a:lumMod val="75000"/>
              </a:schemeClr>
            </a:gs>
            <a:gs pos="100000">
              <a:schemeClr val="accent3">
                <a:lumMod val="75000"/>
              </a:schemeClr>
            </a:gs>
            <a:gs pos="0">
              <a:schemeClr val="tx1"/>
            </a:gs>
          </a:gsLst>
          <a:path path="circle">
            <a:fillToRect l="50000" t="130000" r="50000" b="-30000"/>
          </a:path>
          <a:tileRect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853343</xdr:colOff>
      <xdr:row>26</xdr:row>
      <xdr:rowOff>108171</xdr:rowOff>
    </xdr:from>
    <xdr:to>
      <xdr:col>2</xdr:col>
      <xdr:colOff>997571</xdr:colOff>
      <xdr:row>26</xdr:row>
      <xdr:rowOff>108171</xdr:rowOff>
    </xdr:to>
    <xdr:cxnSp macro="">
      <xdr:nvCxnSpPr>
        <xdr:cNvPr id="11" name="Conector recto 10">
          <a:extLst>
            <a:ext uri="{FF2B5EF4-FFF2-40B4-BE49-F238E27FC236}">
              <a16:creationId xmlns:a16="http://schemas.microsoft.com/office/drawing/2014/main" id="{C7989026-5410-5C44-AA45-5DC4CCBF7507}"/>
            </a:ext>
          </a:extLst>
        </xdr:cNvPr>
        <xdr:cNvCxnSpPr/>
      </xdr:nvCxnSpPr>
      <xdr:spPr>
        <a:xfrm>
          <a:off x="2732302" y="6358013"/>
          <a:ext cx="144228" cy="0"/>
        </a:xfrm>
        <a:prstGeom prst="line">
          <a:avLst/>
        </a:prstGeom>
        <a:ln w="22225">
          <a:solidFill>
            <a:srgbClr val="92D050"/>
          </a:solidFill>
          <a:headEnd type="oval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976432</xdr:colOff>
      <xdr:row>25</xdr:row>
      <xdr:rowOff>62722</xdr:rowOff>
    </xdr:from>
    <xdr:to>
      <xdr:col>8</xdr:col>
      <xdr:colOff>1068970</xdr:colOff>
      <xdr:row>25</xdr:row>
      <xdr:rowOff>149975</xdr:rowOff>
    </xdr:to>
    <xdr:sp macro="" textlink="">
      <xdr:nvSpPr>
        <xdr:cNvPr id="14" name="Elipse 13">
          <a:extLst>
            <a:ext uri="{FF2B5EF4-FFF2-40B4-BE49-F238E27FC236}">
              <a16:creationId xmlns:a16="http://schemas.microsoft.com/office/drawing/2014/main" id="{3B336007-1FCC-2542-B680-3BF91F397E09}"/>
            </a:ext>
          </a:extLst>
        </xdr:cNvPr>
        <xdr:cNvSpPr/>
      </xdr:nvSpPr>
      <xdr:spPr>
        <a:xfrm>
          <a:off x="8302864" y="6122345"/>
          <a:ext cx="92538" cy="87253"/>
        </a:xfrm>
        <a:prstGeom prst="ellips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8</xdr:col>
      <xdr:colOff>982048</xdr:colOff>
      <xdr:row>26</xdr:row>
      <xdr:rowOff>14094</xdr:rowOff>
    </xdr:from>
    <xdr:to>
      <xdr:col>8</xdr:col>
      <xdr:colOff>1074586</xdr:colOff>
      <xdr:row>26</xdr:row>
      <xdr:rowOff>101347</xdr:rowOff>
    </xdr:to>
    <xdr:sp macro="" textlink="">
      <xdr:nvSpPr>
        <xdr:cNvPr id="15" name="Elipse 14">
          <a:extLst>
            <a:ext uri="{FF2B5EF4-FFF2-40B4-BE49-F238E27FC236}">
              <a16:creationId xmlns:a16="http://schemas.microsoft.com/office/drawing/2014/main" id="{2CA8AD2C-B85A-2647-A925-AE142ABE6C61}"/>
            </a:ext>
          </a:extLst>
        </xdr:cNvPr>
        <xdr:cNvSpPr/>
      </xdr:nvSpPr>
      <xdr:spPr>
        <a:xfrm>
          <a:off x="8308480" y="6328993"/>
          <a:ext cx="92538" cy="87253"/>
        </a:xfrm>
        <a:prstGeom prst="ellipse">
          <a:avLst/>
        </a:prstGeom>
        <a:solidFill>
          <a:srgbClr val="FFC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8</xdr:col>
      <xdr:colOff>987664</xdr:colOff>
      <xdr:row>26</xdr:row>
      <xdr:rowOff>217549</xdr:rowOff>
    </xdr:from>
    <xdr:to>
      <xdr:col>8</xdr:col>
      <xdr:colOff>1080202</xdr:colOff>
      <xdr:row>27</xdr:row>
      <xdr:rowOff>49525</xdr:rowOff>
    </xdr:to>
    <xdr:sp macro="" textlink="">
      <xdr:nvSpPr>
        <xdr:cNvPr id="16" name="Elipse 15">
          <a:extLst>
            <a:ext uri="{FF2B5EF4-FFF2-40B4-BE49-F238E27FC236}">
              <a16:creationId xmlns:a16="http://schemas.microsoft.com/office/drawing/2014/main" id="{A2F48B9D-2B93-3546-A53F-66FC42D9EAED}"/>
            </a:ext>
          </a:extLst>
        </xdr:cNvPr>
        <xdr:cNvSpPr/>
      </xdr:nvSpPr>
      <xdr:spPr>
        <a:xfrm>
          <a:off x="8314096" y="6532448"/>
          <a:ext cx="92538" cy="87253"/>
        </a:xfrm>
        <a:prstGeom prst="ellipse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48228</xdr:colOff>
      <xdr:row>1</xdr:row>
      <xdr:rowOff>37510</xdr:rowOff>
    </xdr:from>
    <xdr:to>
      <xdr:col>1</xdr:col>
      <xdr:colOff>621603</xdr:colOff>
      <xdr:row>1</xdr:row>
      <xdr:rowOff>610885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5C443F5-22D0-B048-BEBC-422897E978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8903" y="203628"/>
          <a:ext cx="573375" cy="573375"/>
        </a:xfrm>
        <a:prstGeom prst="rect">
          <a:avLst/>
        </a:prstGeom>
      </xdr:spPr>
    </xdr:pic>
    <xdr:clientData/>
  </xdr:twoCellAnchor>
  <xdr:twoCellAnchor editAs="oneCell">
    <xdr:from>
      <xdr:col>1</xdr:col>
      <xdr:colOff>32152</xdr:colOff>
      <xdr:row>2</xdr:row>
      <xdr:rowOff>26793</xdr:rowOff>
    </xdr:from>
    <xdr:to>
      <xdr:col>1</xdr:col>
      <xdr:colOff>626962</xdr:colOff>
      <xdr:row>2</xdr:row>
      <xdr:rowOff>621603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CCEF26C7-5F47-954C-A7EC-D38AA3E1A5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2827" y="830590"/>
          <a:ext cx="594810" cy="594810"/>
        </a:xfrm>
        <a:prstGeom prst="rect">
          <a:avLst/>
        </a:prstGeom>
      </xdr:spPr>
    </xdr:pic>
    <xdr:clientData/>
  </xdr:twoCellAnchor>
  <xdr:twoCellAnchor editAs="oneCell">
    <xdr:from>
      <xdr:col>1</xdr:col>
      <xdr:colOff>21435</xdr:colOff>
      <xdr:row>3</xdr:row>
      <xdr:rowOff>10717</xdr:rowOff>
    </xdr:from>
    <xdr:to>
      <xdr:col>1</xdr:col>
      <xdr:colOff>643038</xdr:colOff>
      <xdr:row>3</xdr:row>
      <xdr:rowOff>632320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F0A8E4C1-AF0D-5049-B033-A9BEC947EC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2110" y="1452194"/>
          <a:ext cx="621603" cy="621603"/>
        </a:xfrm>
        <a:prstGeom prst="rect">
          <a:avLst/>
        </a:prstGeom>
      </xdr:spPr>
    </xdr:pic>
    <xdr:clientData/>
  </xdr:twoCellAnchor>
  <xdr:twoCellAnchor editAs="oneCell">
    <xdr:from>
      <xdr:col>1</xdr:col>
      <xdr:colOff>11724</xdr:colOff>
      <xdr:row>4</xdr:row>
      <xdr:rowOff>11723</xdr:rowOff>
    </xdr:from>
    <xdr:to>
      <xdr:col>1</xdr:col>
      <xdr:colOff>636954</xdr:colOff>
      <xdr:row>4</xdr:row>
      <xdr:rowOff>623931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A00911EB-2AC8-EE48-B292-E8EDE0D5AF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1047" y="2086708"/>
          <a:ext cx="625230" cy="612208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5FC9ACB-A60D-9B47-B2A4-23F4CA76BAE4}" name="Tabla1" displayName="Tabla1" ref="A1:AC55" totalsRowShown="0" headerRowDxfId="13">
  <autoFilter ref="A1:AC55" xr:uid="{A5FC9ACB-A60D-9B47-B2A4-23F4CA76BAE4}"/>
  <tableColumns count="29">
    <tableColumn id="14" xr3:uid="{07764A8E-8760-1947-821D-FBD2F255455C}" name="Nombre" dataDxfId="12"/>
    <tableColumn id="2" xr3:uid="{544A55E7-6CB0-2E48-B844-1D74B987AEF8}" name="Fecha"/>
    <tableColumn id="1" xr3:uid="{2D82CA0A-D0AD-3246-861F-8B28066CD412}" name="Disponibilidad" dataDxfId="11"/>
    <tableColumn id="4" xr3:uid="{79A4A474-293E-684D-AECA-D9777684D6C2}" name="Estrés"/>
    <tableColumn id="5" xr3:uid="{CFEFBC43-35EE-A84A-9242-A8A792CF8E1E}" name="Sueño"/>
    <tableColumn id="6" xr3:uid="{5722DA73-50EA-CB42-AB34-0AF504096A7A}" name="DOMS"/>
    <tableColumn id="7" xr3:uid="{978D92BF-4030-774A-B137-D3516475E75D}" name="Energía"/>
    <tableColumn id="8" xr3:uid="{DC672F53-043C-A646-9C89-F4B8BF6E2F25}" name="Fatiga"/>
    <tableColumn id="9" xr3:uid="{D523E8EF-788C-F54D-86A6-012CA00F8FD5}" name="General"/>
    <tableColumn id="10" xr3:uid="{81403A51-D19E-4A46-AF3D-403B13E28F25}" name="Readiness"/>
    <tableColumn id="29" xr3:uid="{C70BE5C4-E2AA-814D-8F99-9B0F015E515F}" name="Equipo" dataDxfId="10">
      <calculatedColumnFormula>INDEX(Tabla2[Equipo],MATCH(Tabla1[[#This Row],[Nombre]],Tabla2[Nombre],0))</calculatedColumnFormula>
    </tableColumn>
    <tableColumn id="17" xr3:uid="{1FB0AD92-8ADD-694A-9C69-BF584FF17169}" name="Deporte" dataDxfId="9">
      <calculatedColumnFormula>INDEX(Tabla2[Deporte],MATCH(Tabla1[[#This Row],[Nombre]],Tabla2[Nombre],0))</calculatedColumnFormula>
    </tableColumn>
    <tableColumn id="28" xr3:uid="{A5B3ECBA-DC69-7B42-B289-7BAAE3609E04}" name="Puesto" dataDxfId="8">
      <calculatedColumnFormula>INDEX(Tabla2[Puesto],MATCH(Tabla1[[#This Row],[Nombre]],Tabla2[Nombre],0))</calculatedColumnFormula>
    </tableColumn>
    <tableColumn id="3" xr3:uid="{D2BD6813-8F41-C548-BCBD-0FF8F63DAF5D}" name="Dispo" dataDxfId="7">
      <calculatedColumnFormula>IF(Tabla1[[#This Row],[Disponibilidad]]="Full",1,IF(Tabla1[[#This Row],[Disponibilidad]]="Parcial",2,IF(Tabla1[[#This Row],[Disponibilidad]]="Lesión",3,"")))</calculatedColumnFormula>
    </tableColumn>
    <tableColumn id="11" xr3:uid="{4B0CB725-A03E-4045-87FD-66928EAB00CC}" name="Promedio Estrés"/>
    <tableColumn id="12" xr3:uid="{1236522A-7263-934C-AFD2-570E2986FB3A}" name="DS Estrés"/>
    <tableColumn id="13" xr3:uid="{954A2206-25FD-B64E-A17D-590C05300101}" name="Z Score Estrés"/>
    <tableColumn id="15" xr3:uid="{3CCC6168-3D97-9C40-B3B4-DC8136F8C882}" name="Promedio Sueño"/>
    <tableColumn id="16" xr3:uid="{A63362F5-6023-0E42-8EE0-F879BC44FFFA}" name="DS Sueño"/>
    <tableColumn id="18" xr3:uid="{25E9D09E-6966-2E44-8AF2-3974A1AE4711}" name="Promedio DOMS"/>
    <tableColumn id="19" xr3:uid="{A2B88494-2290-5C43-8187-B6CCEDC16459}" name="DS DOMS"/>
    <tableColumn id="20" xr3:uid="{22C2549B-1AC5-2847-BF24-AD05C31F4613}" name="Promedio Energía"/>
    <tableColumn id="21" xr3:uid="{17D91117-96A7-F448-AB3F-407515FEDBEA}" name="DS Energía"/>
    <tableColumn id="22" xr3:uid="{7C87EC17-DABA-884E-87D9-C44DAB573590}" name="Promedio Fatiga"/>
    <tableColumn id="23" xr3:uid="{6D4973B0-E0B9-A040-8CA8-A671D8932322}" name="DS Fatiga"/>
    <tableColumn id="24" xr3:uid="{F3C44AED-A8D9-1C46-B84B-BF1B271B0DF1}" name="Promedio General"/>
    <tableColumn id="25" xr3:uid="{E03962D5-0003-324F-A26F-31B214803604}" name="DS General"/>
    <tableColumn id="26" xr3:uid="{627FCA99-04AB-E446-B7DA-8BBCC52220FE}" name="Promedio Readiness"/>
    <tableColumn id="27" xr3:uid="{0D413A98-A888-CD4A-A948-19A84BA68786}" name="DS Readines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181A49E-4C3C-BD49-A21A-CF1772E9E008}" name="Tabla2" displayName="Tabla2" ref="A1:F15" totalsRowShown="0" headerRowDxfId="4">
  <autoFilter ref="A1:F15" xr:uid="{8181A49E-4C3C-BD49-A21A-CF1772E9E008}"/>
  <tableColumns count="6">
    <tableColumn id="1" xr3:uid="{80D71621-5E90-AD4A-9C1E-B37296C0564F}" name="Nombre" dataDxfId="3"/>
    <tableColumn id="7" xr3:uid="{64C7B535-CF77-CF40-BB08-D0B5502A5EC1}" name="Equipo" dataDxfId="2"/>
    <tableColumn id="2" xr3:uid="{C27F31E6-D9FF-DC48-BF9A-15B5667AFA3C}" name="Deporte" dataDxfId="1"/>
    <tableColumn id="5" xr3:uid="{8F79F871-03A1-FC41-92CC-7C6EA1AC6EF9}" name="Puesto" dataDxfId="0"/>
    <tableColumn id="3" xr3:uid="{FF74AB62-280E-D044-97E7-B4DC7F24EB34}" name="Altura"/>
    <tableColumn id="4" xr3:uid="{AC161537-77BB-F449-888C-DA051E6745A1}" name="Peso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C55"/>
  <sheetViews>
    <sheetView workbookViewId="0">
      <pane ySplit="1" topLeftCell="A2" activePane="bottomLeft" state="frozen"/>
      <selection pane="bottomLeft" activeCell="H58" sqref="H58"/>
    </sheetView>
  </sheetViews>
  <sheetFormatPr baseColWidth="10" defaultColWidth="14.5" defaultRowHeight="15.75" customHeight="1"/>
  <cols>
    <col min="1" max="1" width="14.83203125" style="50" bestFit="1" customWidth="1"/>
    <col min="2" max="2" width="11.1640625" bestFit="1" customWidth="1"/>
    <col min="3" max="3" width="17.83203125" style="12" bestFit="1" customWidth="1"/>
    <col min="4" max="5" width="11.33203125" bestFit="1" customWidth="1"/>
    <col min="6" max="6" width="11.1640625" bestFit="1" customWidth="1"/>
    <col min="7" max="7" width="12.33203125" bestFit="1" customWidth="1"/>
    <col min="8" max="8" width="11.1640625" bestFit="1" customWidth="1"/>
    <col min="9" max="9" width="12.6640625" bestFit="1" customWidth="1"/>
    <col min="10" max="10" width="14.83203125" bestFit="1" customWidth="1"/>
    <col min="11" max="11" width="14.83203125" customWidth="1"/>
    <col min="12" max="13" width="17.5" customWidth="1"/>
    <col min="14" max="14" width="17.5" style="12" customWidth="1"/>
    <col min="15" max="15" width="19.33203125" bestFit="1" customWidth="1"/>
    <col min="16" max="16" width="14" bestFit="1" customWidth="1"/>
    <col min="17" max="17" width="17.83203125" bestFit="1" customWidth="1"/>
    <col min="18" max="18" width="19.33203125" bestFit="1" customWidth="1"/>
    <col min="19" max="19" width="14" bestFit="1" customWidth="1"/>
    <col min="20" max="20" width="19.33203125" bestFit="1" customWidth="1"/>
    <col min="21" max="21" width="14" bestFit="1" customWidth="1"/>
    <col min="22" max="22" width="19.33203125" bestFit="1" customWidth="1"/>
    <col min="23" max="23" width="14" bestFit="1" customWidth="1"/>
    <col min="24" max="24" width="19.33203125" bestFit="1" customWidth="1"/>
    <col min="25" max="25" width="14" bestFit="1" customWidth="1"/>
    <col min="26" max="26" width="19.33203125" bestFit="1" customWidth="1"/>
    <col min="27" max="27" width="14" bestFit="1" customWidth="1"/>
    <col min="28" max="28" width="19.33203125" bestFit="1" customWidth="1"/>
    <col min="29" max="29" width="14" bestFit="1" customWidth="1"/>
  </cols>
  <sheetData>
    <row r="1" spans="1:29" ht="15.75" customHeight="1">
      <c r="A1" s="48" t="s">
        <v>15</v>
      </c>
      <c r="B1" s="1" t="s">
        <v>0</v>
      </c>
      <c r="C1" s="52" t="s">
        <v>55</v>
      </c>
      <c r="D1" s="1" t="s">
        <v>5</v>
      </c>
      <c r="E1" s="1" t="s">
        <v>11</v>
      </c>
      <c r="F1" s="1" t="s">
        <v>6</v>
      </c>
      <c r="G1" s="1" t="s">
        <v>12</v>
      </c>
      <c r="H1" s="1" t="s">
        <v>8</v>
      </c>
      <c r="I1" s="1" t="s">
        <v>9</v>
      </c>
      <c r="J1" s="3" t="s">
        <v>10</v>
      </c>
      <c r="K1" s="3" t="s">
        <v>77</v>
      </c>
      <c r="L1" s="3" t="s">
        <v>21</v>
      </c>
      <c r="M1" s="3" t="s">
        <v>53</v>
      </c>
      <c r="N1" s="57" t="s">
        <v>64</v>
      </c>
      <c r="O1" s="4" t="s">
        <v>1</v>
      </c>
      <c r="P1" s="4" t="s">
        <v>2</v>
      </c>
      <c r="Q1" s="4" t="s">
        <v>3</v>
      </c>
      <c r="R1" s="4" t="s">
        <v>36</v>
      </c>
      <c r="S1" s="4" t="s">
        <v>37</v>
      </c>
      <c r="T1" s="4" t="s">
        <v>38</v>
      </c>
      <c r="U1" s="4" t="s">
        <v>39</v>
      </c>
      <c r="V1" s="4" t="s">
        <v>40</v>
      </c>
      <c r="W1" s="4" t="s">
        <v>41</v>
      </c>
      <c r="X1" s="4" t="s">
        <v>42</v>
      </c>
      <c r="Y1" s="4" t="s">
        <v>43</v>
      </c>
      <c r="Z1" s="4" t="s">
        <v>44</v>
      </c>
      <c r="AA1" s="4" t="s">
        <v>45</v>
      </c>
      <c r="AB1" s="4" t="s">
        <v>46</v>
      </c>
      <c r="AC1" s="4" t="s">
        <v>47</v>
      </c>
    </row>
    <row r="2" spans="1:29" ht="15.75" customHeight="1">
      <c r="A2" s="49" t="s">
        <v>57</v>
      </c>
      <c r="B2" s="5">
        <v>44378</v>
      </c>
      <c r="C2" s="14" t="s">
        <v>23</v>
      </c>
      <c r="D2" s="6">
        <v>3</v>
      </c>
      <c r="E2" s="6">
        <v>5</v>
      </c>
      <c r="F2" s="6">
        <v>3</v>
      </c>
      <c r="G2" s="6">
        <v>3</v>
      </c>
      <c r="H2" s="6">
        <v>3</v>
      </c>
      <c r="I2" s="6">
        <v>3</v>
      </c>
      <c r="J2" s="7">
        <f t="shared" ref="J2:J19" si="0">SUM(D2:I2)</f>
        <v>20</v>
      </c>
      <c r="K2" s="7" t="str">
        <f>INDEX(Tabla2[Equipo],MATCH(Tabla1[[#This Row],[Nombre]],Tabla2[Nombre],0))</f>
        <v>EQUIPO 1</v>
      </c>
      <c r="L2" s="7" t="str">
        <f>INDEX(Tabla2[Deporte],MATCH(Tabla1[[#This Row],[Nombre]],Tabla2[Nombre],0))</f>
        <v>Futbol</v>
      </c>
      <c r="M2" s="7" t="str">
        <f>INDEX(Tabla2[Puesto],MATCH(Tabla1[[#This Row],[Nombre]],Tabla2[Nombre],0))</f>
        <v>Defensor</v>
      </c>
      <c r="N2" s="58">
        <f>IF(Tabla1[[#This Row],[Disponibilidad]]="Full",1,IF(Tabla1[[#This Row],[Disponibilidad]]="Parcial",2,IF(Tabla1[[#This Row],[Disponibilidad]]="Lesión",3,"")))</f>
        <v>1</v>
      </c>
      <c r="O2" s="8">
        <f t="shared" ref="O2:O33" si="1">AVERAGE(D:D)</f>
        <v>3.1111111111111112</v>
      </c>
      <c r="P2" s="8">
        <f t="shared" ref="P2:P33" si="2">STDEV(D:D)</f>
        <v>0.71813875430883989</v>
      </c>
      <c r="Q2" s="8">
        <f t="shared" ref="Q2:Q55" si="3">(D2-$O$2)/$P$2</f>
        <v>-0.15472095113157919</v>
      </c>
      <c r="R2" s="65">
        <f>AVERAGE(E$1:E$55)</f>
        <v>3.5925925925925926</v>
      </c>
      <c r="S2" s="65">
        <f>STDEV(E$1:E$55)</f>
        <v>0.96188726673470404</v>
      </c>
      <c r="T2" s="65">
        <f>AVERAGE(F$1:F$55)</f>
        <v>3.2777777777777777</v>
      </c>
      <c r="U2" s="65">
        <f>STDEV(F$1:F$55)</f>
        <v>0.73758061066754266</v>
      </c>
      <c r="V2" s="65">
        <f>AVERAGE(G$1:G$55)</f>
        <v>3.425925925925926</v>
      </c>
      <c r="W2" s="65">
        <f>STDEV(G$1:G$55)</f>
        <v>0.86005379059183884</v>
      </c>
      <c r="X2" s="65">
        <f>AVERAGE(H$1:H$55)</f>
        <v>2.9814814814814814</v>
      </c>
      <c r="Y2" s="65">
        <f>STDEV(H$1:H$55)</f>
        <v>0.83532257334360727</v>
      </c>
      <c r="Z2" s="65">
        <f>AVERAGE(I$1:I$55)</f>
        <v>3.425925925925926</v>
      </c>
      <c r="AA2" s="65">
        <f>STDEV(I$1:I$55)</f>
        <v>0.79150803883572729</v>
      </c>
      <c r="AB2" s="65">
        <f>AVERAGE(J$1:J$55)</f>
        <v>19.814814814814813</v>
      </c>
      <c r="AC2" s="65">
        <f>STDEV(J$1:J$55)</f>
        <v>2.8752297632492816</v>
      </c>
    </row>
    <row r="3" spans="1:29" ht="15.75" customHeight="1">
      <c r="A3" s="49" t="s">
        <v>57</v>
      </c>
      <c r="B3" s="5">
        <v>44382</v>
      </c>
      <c r="C3" s="14" t="s">
        <v>23</v>
      </c>
      <c r="D3" s="6">
        <v>3</v>
      </c>
      <c r="E3" s="6">
        <v>4</v>
      </c>
      <c r="F3" s="6">
        <v>4</v>
      </c>
      <c r="G3" s="6">
        <v>4</v>
      </c>
      <c r="H3" s="6">
        <v>4</v>
      </c>
      <c r="I3" s="6">
        <v>4</v>
      </c>
      <c r="J3" s="7">
        <f t="shared" si="0"/>
        <v>23</v>
      </c>
      <c r="K3" s="7" t="str">
        <f>INDEX(Tabla2[Equipo],MATCH(Tabla1[[#This Row],[Nombre]],Tabla2[Nombre],0))</f>
        <v>EQUIPO 1</v>
      </c>
      <c r="L3" s="7" t="str">
        <f>INDEX(Tabla2[Deporte],MATCH(Tabla1[[#This Row],[Nombre]],Tabla2[Nombre],0))</f>
        <v>Futbol</v>
      </c>
      <c r="M3" s="7" t="str">
        <f>INDEX(Tabla2[Puesto],MATCH(Tabla1[[#This Row],[Nombre]],Tabla2[Nombre],0))</f>
        <v>Defensor</v>
      </c>
      <c r="N3" s="58">
        <f>IF(Tabla1[[#This Row],[Disponibilidad]]="Full",1,IF(Tabla1[[#This Row],[Disponibilidad]]="Parcial",2,IF(Tabla1[[#This Row],[Disponibilidad]]="Lesión",3,"")))</f>
        <v>1</v>
      </c>
      <c r="O3" s="8">
        <f t="shared" si="1"/>
        <v>3.1111111111111112</v>
      </c>
      <c r="P3" s="8">
        <f t="shared" si="2"/>
        <v>0.71813875430883989</v>
      </c>
      <c r="Q3" s="8">
        <f t="shared" si="3"/>
        <v>-0.15472095113157919</v>
      </c>
      <c r="R3" s="8">
        <f t="shared" ref="R3:R34" si="4">AVERAGE(E:E)</f>
        <v>3.5925925925925926</v>
      </c>
      <c r="S3" s="8">
        <f t="shared" ref="S3:S34" si="5">STDEV(E:E)</f>
        <v>0.96188726673470404</v>
      </c>
      <c r="T3" s="8">
        <f t="shared" ref="T3:T34" si="6">AVERAGE(F:F)</f>
        <v>3.2777777777777777</v>
      </c>
      <c r="U3" s="8">
        <f t="shared" ref="U3:U34" si="7">STDEV(F:F)</f>
        <v>0.73758061066754266</v>
      </c>
      <c r="V3" s="8">
        <f t="shared" ref="V3:V34" si="8">AVERAGE(G:G)</f>
        <v>3.425925925925926</v>
      </c>
      <c r="W3" s="8">
        <f t="shared" ref="W3:W34" si="9">STDEV(G:G)</f>
        <v>0.86005379059183884</v>
      </c>
      <c r="X3" s="8">
        <f t="shared" ref="X3:X34" si="10">AVERAGE(H:H)</f>
        <v>2.9814814814814814</v>
      </c>
      <c r="Y3" s="8">
        <f t="shared" ref="Y3:Y34" si="11">STDEV(H:H)</f>
        <v>0.83532257334360727</v>
      </c>
      <c r="Z3" s="8">
        <f t="shared" ref="Z3:Z34" si="12">AVERAGE(I:I)</f>
        <v>3.425925925925926</v>
      </c>
      <c r="AA3" s="8">
        <f t="shared" ref="AA3:AA34" si="13">STDEV(I:I)</f>
        <v>0.79150803883572729</v>
      </c>
      <c r="AB3" s="8">
        <f t="shared" ref="AB3:AB34" si="14">AVERAGE(J:J)</f>
        <v>19.814814814814813</v>
      </c>
      <c r="AC3" s="8">
        <f t="shared" ref="AC3:AC34" si="15">STDEV(J:J)</f>
        <v>2.8752297632492816</v>
      </c>
    </row>
    <row r="4" spans="1:29" ht="15.75" customHeight="1">
      <c r="A4" s="49" t="s">
        <v>57</v>
      </c>
      <c r="B4" s="5">
        <v>44383</v>
      </c>
      <c r="C4" s="14" t="s">
        <v>23</v>
      </c>
      <c r="D4" s="6">
        <v>4</v>
      </c>
      <c r="E4" s="6">
        <v>2</v>
      </c>
      <c r="F4" s="6">
        <v>2</v>
      </c>
      <c r="G4" s="6">
        <v>2</v>
      </c>
      <c r="H4" s="6">
        <v>2</v>
      </c>
      <c r="I4" s="6">
        <v>3</v>
      </c>
      <c r="J4" s="7">
        <f t="shared" si="0"/>
        <v>15</v>
      </c>
      <c r="K4" s="7" t="str">
        <f>INDEX(Tabla2[Equipo],MATCH(Tabla1[[#This Row],[Nombre]],Tabla2[Nombre],0))</f>
        <v>EQUIPO 1</v>
      </c>
      <c r="L4" s="7" t="str">
        <f>INDEX(Tabla2[Deporte],MATCH(Tabla1[[#This Row],[Nombre]],Tabla2[Nombre],0))</f>
        <v>Futbol</v>
      </c>
      <c r="M4" s="7" t="str">
        <f>INDEX(Tabla2[Puesto],MATCH(Tabla1[[#This Row],[Nombre]],Tabla2[Nombre],0))</f>
        <v>Defensor</v>
      </c>
      <c r="N4" s="58">
        <f>IF(Tabla1[[#This Row],[Disponibilidad]]="Full",1,IF(Tabla1[[#This Row],[Disponibilidad]]="Parcial",2,IF(Tabla1[[#This Row],[Disponibilidad]]="Lesión",3,"")))</f>
        <v>1</v>
      </c>
      <c r="O4" s="8">
        <f t="shared" si="1"/>
        <v>3.1111111111111112</v>
      </c>
      <c r="P4" s="8">
        <f t="shared" si="2"/>
        <v>0.71813875430883989</v>
      </c>
      <c r="Q4" s="8">
        <f t="shared" si="3"/>
        <v>1.2377676090526328</v>
      </c>
      <c r="R4" s="8">
        <f t="shared" si="4"/>
        <v>3.5925925925925926</v>
      </c>
      <c r="S4" s="8">
        <f t="shared" si="5"/>
        <v>0.96188726673470404</v>
      </c>
      <c r="T4" s="8">
        <f t="shared" si="6"/>
        <v>3.2777777777777777</v>
      </c>
      <c r="U4" s="8">
        <f t="shared" si="7"/>
        <v>0.73758061066754266</v>
      </c>
      <c r="V4" s="8">
        <f t="shared" si="8"/>
        <v>3.425925925925926</v>
      </c>
      <c r="W4" s="8">
        <f t="shared" si="9"/>
        <v>0.86005379059183884</v>
      </c>
      <c r="X4" s="8">
        <f t="shared" si="10"/>
        <v>2.9814814814814814</v>
      </c>
      <c r="Y4" s="8">
        <f t="shared" si="11"/>
        <v>0.83532257334360727</v>
      </c>
      <c r="Z4" s="8">
        <f t="shared" si="12"/>
        <v>3.425925925925926</v>
      </c>
      <c r="AA4" s="8">
        <f t="shared" si="13"/>
        <v>0.79150803883572729</v>
      </c>
      <c r="AB4" s="8">
        <f t="shared" si="14"/>
        <v>19.814814814814813</v>
      </c>
      <c r="AC4" s="8">
        <f t="shared" si="15"/>
        <v>2.8752297632492816</v>
      </c>
    </row>
    <row r="5" spans="1:29" ht="15.75" customHeight="1">
      <c r="A5" s="49" t="s">
        <v>57</v>
      </c>
      <c r="B5" s="5">
        <v>44384</v>
      </c>
      <c r="C5" s="14" t="s">
        <v>23</v>
      </c>
      <c r="D5" s="6">
        <v>4</v>
      </c>
      <c r="E5" s="6">
        <v>1</v>
      </c>
      <c r="F5" s="6">
        <v>3</v>
      </c>
      <c r="G5" s="6">
        <v>2</v>
      </c>
      <c r="H5" s="6">
        <v>2</v>
      </c>
      <c r="I5" s="6">
        <v>2</v>
      </c>
      <c r="J5" s="7">
        <f t="shared" si="0"/>
        <v>14</v>
      </c>
      <c r="K5" s="7" t="str">
        <f>INDEX(Tabla2[Equipo],MATCH(Tabla1[[#This Row],[Nombre]],Tabla2[Nombre],0))</f>
        <v>EQUIPO 1</v>
      </c>
      <c r="L5" s="7" t="str">
        <f>INDEX(Tabla2[Deporte],MATCH(Tabla1[[#This Row],[Nombre]],Tabla2[Nombre],0))</f>
        <v>Futbol</v>
      </c>
      <c r="M5" s="7" t="str">
        <f>INDEX(Tabla2[Puesto],MATCH(Tabla1[[#This Row],[Nombre]],Tabla2[Nombre],0))</f>
        <v>Defensor</v>
      </c>
      <c r="N5" s="58">
        <f>IF(Tabla1[[#This Row],[Disponibilidad]]="Full",1,IF(Tabla1[[#This Row],[Disponibilidad]]="Parcial",2,IF(Tabla1[[#This Row],[Disponibilidad]]="Lesión",3,"")))</f>
        <v>1</v>
      </c>
      <c r="O5" s="8">
        <f t="shared" si="1"/>
        <v>3.1111111111111112</v>
      </c>
      <c r="P5" s="8">
        <f t="shared" si="2"/>
        <v>0.71813875430883989</v>
      </c>
      <c r="Q5" s="8">
        <f t="shared" si="3"/>
        <v>1.2377676090526328</v>
      </c>
      <c r="R5" s="8">
        <f t="shared" si="4"/>
        <v>3.5925925925925926</v>
      </c>
      <c r="S5" s="8">
        <f t="shared" si="5"/>
        <v>0.96188726673470404</v>
      </c>
      <c r="T5" s="8">
        <f t="shared" si="6"/>
        <v>3.2777777777777777</v>
      </c>
      <c r="U5" s="8">
        <f t="shared" si="7"/>
        <v>0.73758061066754266</v>
      </c>
      <c r="V5" s="8">
        <f t="shared" si="8"/>
        <v>3.425925925925926</v>
      </c>
      <c r="W5" s="8">
        <f t="shared" si="9"/>
        <v>0.86005379059183884</v>
      </c>
      <c r="X5" s="8">
        <f t="shared" si="10"/>
        <v>2.9814814814814814</v>
      </c>
      <c r="Y5" s="8">
        <f t="shared" si="11"/>
        <v>0.83532257334360727</v>
      </c>
      <c r="Z5" s="8">
        <f t="shared" si="12"/>
        <v>3.425925925925926</v>
      </c>
      <c r="AA5" s="8">
        <f t="shared" si="13"/>
        <v>0.79150803883572729</v>
      </c>
      <c r="AB5" s="8">
        <f t="shared" si="14"/>
        <v>19.814814814814813</v>
      </c>
      <c r="AC5" s="8">
        <f t="shared" si="15"/>
        <v>2.8752297632492816</v>
      </c>
    </row>
    <row r="6" spans="1:29" ht="15.75" customHeight="1">
      <c r="A6" s="49" t="s">
        <v>57</v>
      </c>
      <c r="B6" s="5">
        <v>44389</v>
      </c>
      <c r="C6" s="14" t="s">
        <v>23</v>
      </c>
      <c r="D6" s="6">
        <v>4</v>
      </c>
      <c r="E6" s="6">
        <v>4</v>
      </c>
      <c r="F6" s="6">
        <v>4</v>
      </c>
      <c r="G6" s="6">
        <v>4</v>
      </c>
      <c r="H6" s="6">
        <v>4</v>
      </c>
      <c r="I6" s="6">
        <v>4</v>
      </c>
      <c r="J6" s="7">
        <f t="shared" si="0"/>
        <v>24</v>
      </c>
      <c r="K6" s="7" t="str">
        <f>INDEX(Tabla2[Equipo],MATCH(Tabla1[[#This Row],[Nombre]],Tabla2[Nombre],0))</f>
        <v>EQUIPO 1</v>
      </c>
      <c r="L6" s="7" t="str">
        <f>INDEX(Tabla2[Deporte],MATCH(Tabla1[[#This Row],[Nombre]],Tabla2[Nombre],0))</f>
        <v>Futbol</v>
      </c>
      <c r="M6" s="7" t="str">
        <f>INDEX(Tabla2[Puesto],MATCH(Tabla1[[#This Row],[Nombre]],Tabla2[Nombre],0))</f>
        <v>Defensor</v>
      </c>
      <c r="N6" s="58">
        <f>IF(Tabla1[[#This Row],[Disponibilidad]]="Full",1,IF(Tabla1[[#This Row],[Disponibilidad]]="Parcial",2,IF(Tabla1[[#This Row],[Disponibilidad]]="Lesión",3,"")))</f>
        <v>1</v>
      </c>
      <c r="O6" s="8">
        <f t="shared" si="1"/>
        <v>3.1111111111111112</v>
      </c>
      <c r="P6" s="8">
        <f t="shared" si="2"/>
        <v>0.71813875430883989</v>
      </c>
      <c r="Q6" s="8">
        <f t="shared" si="3"/>
        <v>1.2377676090526328</v>
      </c>
      <c r="R6" s="8">
        <f t="shared" si="4"/>
        <v>3.5925925925925926</v>
      </c>
      <c r="S6" s="8">
        <f t="shared" si="5"/>
        <v>0.96188726673470404</v>
      </c>
      <c r="T6" s="8">
        <f t="shared" si="6"/>
        <v>3.2777777777777777</v>
      </c>
      <c r="U6" s="8">
        <f t="shared" si="7"/>
        <v>0.73758061066754266</v>
      </c>
      <c r="V6" s="8">
        <f t="shared" si="8"/>
        <v>3.425925925925926</v>
      </c>
      <c r="W6" s="8">
        <f t="shared" si="9"/>
        <v>0.86005379059183884</v>
      </c>
      <c r="X6" s="8">
        <f t="shared" si="10"/>
        <v>2.9814814814814814</v>
      </c>
      <c r="Y6" s="8">
        <f t="shared" si="11"/>
        <v>0.83532257334360727</v>
      </c>
      <c r="Z6" s="8">
        <f t="shared" si="12"/>
        <v>3.425925925925926</v>
      </c>
      <c r="AA6" s="8">
        <f t="shared" si="13"/>
        <v>0.79150803883572729</v>
      </c>
      <c r="AB6" s="8">
        <f t="shared" si="14"/>
        <v>19.814814814814813</v>
      </c>
      <c r="AC6" s="8">
        <f t="shared" si="15"/>
        <v>2.8752297632492816</v>
      </c>
    </row>
    <row r="7" spans="1:29" ht="15.75" customHeight="1">
      <c r="A7" s="49" t="s">
        <v>57</v>
      </c>
      <c r="B7" s="5">
        <v>44390</v>
      </c>
      <c r="C7" s="14" t="s">
        <v>23</v>
      </c>
      <c r="D7" s="6">
        <v>3</v>
      </c>
      <c r="E7" s="6">
        <v>3</v>
      </c>
      <c r="F7" s="6">
        <v>4</v>
      </c>
      <c r="G7" s="6">
        <v>3</v>
      </c>
      <c r="H7" s="6">
        <v>3</v>
      </c>
      <c r="I7" s="6">
        <v>3</v>
      </c>
      <c r="J7" s="7">
        <f t="shared" si="0"/>
        <v>19</v>
      </c>
      <c r="K7" s="7" t="str">
        <f>INDEX(Tabla2[Equipo],MATCH(Tabla1[[#This Row],[Nombre]],Tabla2[Nombre],0))</f>
        <v>EQUIPO 1</v>
      </c>
      <c r="L7" s="7" t="str">
        <f>INDEX(Tabla2[Deporte],MATCH(Tabla1[[#This Row],[Nombre]],Tabla2[Nombre],0))</f>
        <v>Futbol</v>
      </c>
      <c r="M7" s="7" t="str">
        <f>INDEX(Tabla2[Puesto],MATCH(Tabla1[[#This Row],[Nombre]],Tabla2[Nombre],0))</f>
        <v>Defensor</v>
      </c>
      <c r="N7" s="58">
        <f>IF(Tabla1[[#This Row],[Disponibilidad]]="Full",1,IF(Tabla1[[#This Row],[Disponibilidad]]="Parcial",2,IF(Tabla1[[#This Row],[Disponibilidad]]="Lesión",3,"")))</f>
        <v>1</v>
      </c>
      <c r="O7" s="8">
        <f t="shared" si="1"/>
        <v>3.1111111111111112</v>
      </c>
      <c r="P7" s="8">
        <f t="shared" si="2"/>
        <v>0.71813875430883989</v>
      </c>
      <c r="Q7" s="8">
        <f t="shared" si="3"/>
        <v>-0.15472095113157919</v>
      </c>
      <c r="R7" s="8">
        <f t="shared" si="4"/>
        <v>3.5925925925925926</v>
      </c>
      <c r="S7" s="8">
        <f t="shared" si="5"/>
        <v>0.96188726673470404</v>
      </c>
      <c r="T7" s="8">
        <f t="shared" si="6"/>
        <v>3.2777777777777777</v>
      </c>
      <c r="U7" s="8">
        <f t="shared" si="7"/>
        <v>0.73758061066754266</v>
      </c>
      <c r="V7" s="8">
        <f t="shared" si="8"/>
        <v>3.425925925925926</v>
      </c>
      <c r="W7" s="8">
        <f t="shared" si="9"/>
        <v>0.86005379059183884</v>
      </c>
      <c r="X7" s="8">
        <f t="shared" si="10"/>
        <v>2.9814814814814814</v>
      </c>
      <c r="Y7" s="8">
        <f t="shared" si="11"/>
        <v>0.83532257334360727</v>
      </c>
      <c r="Z7" s="8">
        <f t="shared" si="12"/>
        <v>3.425925925925926</v>
      </c>
      <c r="AA7" s="8">
        <f t="shared" si="13"/>
        <v>0.79150803883572729</v>
      </c>
      <c r="AB7" s="8">
        <f t="shared" si="14"/>
        <v>19.814814814814813</v>
      </c>
      <c r="AC7" s="8">
        <f t="shared" si="15"/>
        <v>2.8752297632492816</v>
      </c>
    </row>
    <row r="8" spans="1:29" ht="15.75" customHeight="1">
      <c r="A8" s="49" t="s">
        <v>57</v>
      </c>
      <c r="B8" s="5">
        <v>44391</v>
      </c>
      <c r="C8" s="14" t="s">
        <v>23</v>
      </c>
      <c r="D8" s="6">
        <v>3</v>
      </c>
      <c r="E8" s="6">
        <v>4</v>
      </c>
      <c r="F8" s="6">
        <v>3</v>
      </c>
      <c r="G8" s="6">
        <v>4</v>
      </c>
      <c r="H8" s="6">
        <v>3</v>
      </c>
      <c r="I8" s="6">
        <v>4</v>
      </c>
      <c r="J8" s="7">
        <f t="shared" si="0"/>
        <v>21</v>
      </c>
      <c r="K8" s="7" t="str">
        <f>INDEX(Tabla2[Equipo],MATCH(Tabla1[[#This Row],[Nombre]],Tabla2[Nombre],0))</f>
        <v>EQUIPO 1</v>
      </c>
      <c r="L8" s="7" t="str">
        <f>INDEX(Tabla2[Deporte],MATCH(Tabla1[[#This Row],[Nombre]],Tabla2[Nombre],0))</f>
        <v>Futbol</v>
      </c>
      <c r="M8" s="7" t="str">
        <f>INDEX(Tabla2[Puesto],MATCH(Tabla1[[#This Row],[Nombre]],Tabla2[Nombre],0))</f>
        <v>Defensor</v>
      </c>
      <c r="N8" s="58">
        <f>IF(Tabla1[[#This Row],[Disponibilidad]]="Full",1,IF(Tabla1[[#This Row],[Disponibilidad]]="Parcial",2,IF(Tabla1[[#This Row],[Disponibilidad]]="Lesión",3,"")))</f>
        <v>1</v>
      </c>
      <c r="O8" s="8">
        <f t="shared" si="1"/>
        <v>3.1111111111111112</v>
      </c>
      <c r="P8" s="8">
        <f t="shared" si="2"/>
        <v>0.71813875430883989</v>
      </c>
      <c r="Q8" s="8">
        <f t="shared" si="3"/>
        <v>-0.15472095113157919</v>
      </c>
      <c r="R8" s="8">
        <f t="shared" si="4"/>
        <v>3.5925925925925926</v>
      </c>
      <c r="S8" s="8">
        <f t="shared" si="5"/>
        <v>0.96188726673470404</v>
      </c>
      <c r="T8" s="8">
        <f t="shared" si="6"/>
        <v>3.2777777777777777</v>
      </c>
      <c r="U8" s="8">
        <f t="shared" si="7"/>
        <v>0.73758061066754266</v>
      </c>
      <c r="V8" s="8">
        <f t="shared" si="8"/>
        <v>3.425925925925926</v>
      </c>
      <c r="W8" s="8">
        <f t="shared" si="9"/>
        <v>0.86005379059183884</v>
      </c>
      <c r="X8" s="8">
        <f t="shared" si="10"/>
        <v>2.9814814814814814</v>
      </c>
      <c r="Y8" s="8">
        <f t="shared" si="11"/>
        <v>0.83532257334360727</v>
      </c>
      <c r="Z8" s="8">
        <f t="shared" si="12"/>
        <v>3.425925925925926</v>
      </c>
      <c r="AA8" s="8">
        <f t="shared" si="13"/>
        <v>0.79150803883572729</v>
      </c>
      <c r="AB8" s="8">
        <f t="shared" si="14"/>
        <v>19.814814814814813</v>
      </c>
      <c r="AC8" s="8">
        <f t="shared" si="15"/>
        <v>2.8752297632492816</v>
      </c>
    </row>
    <row r="9" spans="1:29" ht="15.75" customHeight="1">
      <c r="A9" s="49" t="s">
        <v>57</v>
      </c>
      <c r="B9" s="5">
        <v>44392</v>
      </c>
      <c r="C9" s="14" t="s">
        <v>24</v>
      </c>
      <c r="D9" s="6">
        <v>3</v>
      </c>
      <c r="E9" s="6">
        <v>3</v>
      </c>
      <c r="F9" s="6">
        <v>2</v>
      </c>
      <c r="G9" s="6">
        <v>3</v>
      </c>
      <c r="H9" s="6">
        <v>2</v>
      </c>
      <c r="I9" s="6">
        <v>3</v>
      </c>
      <c r="J9" s="7">
        <f t="shared" si="0"/>
        <v>16</v>
      </c>
      <c r="K9" s="7" t="str">
        <f>INDEX(Tabla2[Equipo],MATCH(Tabla1[[#This Row],[Nombre]],Tabla2[Nombre],0))</f>
        <v>EQUIPO 1</v>
      </c>
      <c r="L9" s="7" t="str">
        <f>INDEX(Tabla2[Deporte],MATCH(Tabla1[[#This Row],[Nombre]],Tabla2[Nombre],0))</f>
        <v>Futbol</v>
      </c>
      <c r="M9" s="7" t="str">
        <f>INDEX(Tabla2[Puesto],MATCH(Tabla1[[#This Row],[Nombre]],Tabla2[Nombre],0))</f>
        <v>Defensor</v>
      </c>
      <c r="N9" s="58">
        <f>IF(Tabla1[[#This Row],[Disponibilidad]]="Full",1,IF(Tabla1[[#This Row],[Disponibilidad]]="Parcial",2,IF(Tabla1[[#This Row],[Disponibilidad]]="Lesión",3,"")))</f>
        <v>2</v>
      </c>
      <c r="O9" s="8">
        <f t="shared" si="1"/>
        <v>3.1111111111111112</v>
      </c>
      <c r="P9" s="8">
        <f t="shared" si="2"/>
        <v>0.71813875430883989</v>
      </c>
      <c r="Q9" s="8">
        <f t="shared" si="3"/>
        <v>-0.15472095113157919</v>
      </c>
      <c r="R9" s="8">
        <f t="shared" si="4"/>
        <v>3.5925925925925926</v>
      </c>
      <c r="S9" s="8">
        <f t="shared" si="5"/>
        <v>0.96188726673470404</v>
      </c>
      <c r="T9" s="8">
        <f t="shared" si="6"/>
        <v>3.2777777777777777</v>
      </c>
      <c r="U9" s="8">
        <f t="shared" si="7"/>
        <v>0.73758061066754266</v>
      </c>
      <c r="V9" s="8">
        <f t="shared" si="8"/>
        <v>3.425925925925926</v>
      </c>
      <c r="W9" s="8">
        <f t="shared" si="9"/>
        <v>0.86005379059183884</v>
      </c>
      <c r="X9" s="8">
        <f t="shared" si="10"/>
        <v>2.9814814814814814</v>
      </c>
      <c r="Y9" s="8">
        <f t="shared" si="11"/>
        <v>0.83532257334360727</v>
      </c>
      <c r="Z9" s="8">
        <f t="shared" si="12"/>
        <v>3.425925925925926</v>
      </c>
      <c r="AA9" s="8">
        <f t="shared" si="13"/>
        <v>0.79150803883572729</v>
      </c>
      <c r="AB9" s="8">
        <f t="shared" si="14"/>
        <v>19.814814814814813</v>
      </c>
      <c r="AC9" s="8">
        <f t="shared" si="15"/>
        <v>2.8752297632492816</v>
      </c>
    </row>
    <row r="10" spans="1:29" ht="15.75" customHeight="1">
      <c r="A10" s="49" t="s">
        <v>57</v>
      </c>
      <c r="B10" s="5">
        <v>44393</v>
      </c>
      <c r="C10" s="14" t="s">
        <v>24</v>
      </c>
      <c r="D10" s="6">
        <v>4</v>
      </c>
      <c r="E10" s="6">
        <v>4</v>
      </c>
      <c r="F10" s="6">
        <v>2</v>
      </c>
      <c r="G10" s="6">
        <v>4</v>
      </c>
      <c r="H10" s="6">
        <v>4</v>
      </c>
      <c r="I10" s="6">
        <v>4</v>
      </c>
      <c r="J10" s="7">
        <f t="shared" si="0"/>
        <v>22</v>
      </c>
      <c r="K10" s="7" t="str">
        <f>INDEX(Tabla2[Equipo],MATCH(Tabla1[[#This Row],[Nombre]],Tabla2[Nombre],0))</f>
        <v>EQUIPO 1</v>
      </c>
      <c r="L10" s="7" t="str">
        <f>INDEX(Tabla2[Deporte],MATCH(Tabla1[[#This Row],[Nombre]],Tabla2[Nombre],0))</f>
        <v>Futbol</v>
      </c>
      <c r="M10" s="7" t="str">
        <f>INDEX(Tabla2[Puesto],MATCH(Tabla1[[#This Row],[Nombre]],Tabla2[Nombre],0))</f>
        <v>Defensor</v>
      </c>
      <c r="N10" s="58">
        <f>IF(Tabla1[[#This Row],[Disponibilidad]]="Full",1,IF(Tabla1[[#This Row],[Disponibilidad]]="Parcial",2,IF(Tabla1[[#This Row],[Disponibilidad]]="Lesión",3,"")))</f>
        <v>2</v>
      </c>
      <c r="O10" s="8">
        <f t="shared" si="1"/>
        <v>3.1111111111111112</v>
      </c>
      <c r="P10" s="8">
        <f t="shared" si="2"/>
        <v>0.71813875430883989</v>
      </c>
      <c r="Q10" s="8">
        <f t="shared" si="3"/>
        <v>1.2377676090526328</v>
      </c>
      <c r="R10" s="8">
        <f t="shared" si="4"/>
        <v>3.5925925925925926</v>
      </c>
      <c r="S10" s="8">
        <f t="shared" si="5"/>
        <v>0.96188726673470404</v>
      </c>
      <c r="T10" s="8">
        <f t="shared" si="6"/>
        <v>3.2777777777777777</v>
      </c>
      <c r="U10" s="8">
        <f t="shared" si="7"/>
        <v>0.73758061066754266</v>
      </c>
      <c r="V10" s="8">
        <f t="shared" si="8"/>
        <v>3.425925925925926</v>
      </c>
      <c r="W10" s="8">
        <f t="shared" si="9"/>
        <v>0.86005379059183884</v>
      </c>
      <c r="X10" s="8">
        <f t="shared" si="10"/>
        <v>2.9814814814814814</v>
      </c>
      <c r="Y10" s="8">
        <f t="shared" si="11"/>
        <v>0.83532257334360727</v>
      </c>
      <c r="Z10" s="8">
        <f t="shared" si="12"/>
        <v>3.425925925925926</v>
      </c>
      <c r="AA10" s="8">
        <f t="shared" si="13"/>
        <v>0.79150803883572729</v>
      </c>
      <c r="AB10" s="8">
        <f t="shared" si="14"/>
        <v>19.814814814814813</v>
      </c>
      <c r="AC10" s="8">
        <f t="shared" si="15"/>
        <v>2.8752297632492816</v>
      </c>
    </row>
    <row r="11" spans="1:29" ht="15.75" customHeight="1">
      <c r="A11" s="49" t="s">
        <v>57</v>
      </c>
      <c r="B11" s="5">
        <v>44396</v>
      </c>
      <c r="C11" s="14" t="s">
        <v>24</v>
      </c>
      <c r="D11" s="6">
        <v>3</v>
      </c>
      <c r="E11" s="6">
        <v>4</v>
      </c>
      <c r="F11" s="6">
        <v>4</v>
      </c>
      <c r="G11" s="6">
        <v>4</v>
      </c>
      <c r="H11" s="6">
        <v>4</v>
      </c>
      <c r="I11" s="6">
        <v>4</v>
      </c>
      <c r="J11" s="7">
        <f t="shared" si="0"/>
        <v>23</v>
      </c>
      <c r="K11" s="7" t="str">
        <f>INDEX(Tabla2[Equipo],MATCH(Tabla1[[#This Row],[Nombre]],Tabla2[Nombre],0))</f>
        <v>EQUIPO 1</v>
      </c>
      <c r="L11" s="7" t="str">
        <f>INDEX(Tabla2[Deporte],MATCH(Tabla1[[#This Row],[Nombre]],Tabla2[Nombre],0))</f>
        <v>Futbol</v>
      </c>
      <c r="M11" s="7" t="str">
        <f>INDEX(Tabla2[Puesto],MATCH(Tabla1[[#This Row],[Nombre]],Tabla2[Nombre],0))</f>
        <v>Defensor</v>
      </c>
      <c r="N11" s="58">
        <f>IF(Tabla1[[#This Row],[Disponibilidad]]="Full",1,IF(Tabla1[[#This Row],[Disponibilidad]]="Parcial",2,IF(Tabla1[[#This Row],[Disponibilidad]]="Lesión",3,"")))</f>
        <v>2</v>
      </c>
      <c r="O11" s="8">
        <f t="shared" si="1"/>
        <v>3.1111111111111112</v>
      </c>
      <c r="P11" s="8">
        <f t="shared" si="2"/>
        <v>0.71813875430883989</v>
      </c>
      <c r="Q11" s="8">
        <f t="shared" si="3"/>
        <v>-0.15472095113157919</v>
      </c>
      <c r="R11" s="8">
        <f t="shared" si="4"/>
        <v>3.5925925925925926</v>
      </c>
      <c r="S11" s="8">
        <f t="shared" si="5"/>
        <v>0.96188726673470404</v>
      </c>
      <c r="T11" s="8">
        <f t="shared" si="6"/>
        <v>3.2777777777777777</v>
      </c>
      <c r="U11" s="8">
        <f t="shared" si="7"/>
        <v>0.73758061066754266</v>
      </c>
      <c r="V11" s="8">
        <f t="shared" si="8"/>
        <v>3.425925925925926</v>
      </c>
      <c r="W11" s="8">
        <f t="shared" si="9"/>
        <v>0.86005379059183884</v>
      </c>
      <c r="X11" s="8">
        <f t="shared" si="10"/>
        <v>2.9814814814814814</v>
      </c>
      <c r="Y11" s="8">
        <f t="shared" si="11"/>
        <v>0.83532257334360727</v>
      </c>
      <c r="Z11" s="8">
        <f t="shared" si="12"/>
        <v>3.425925925925926</v>
      </c>
      <c r="AA11" s="8">
        <f t="shared" si="13"/>
        <v>0.79150803883572729</v>
      </c>
      <c r="AB11" s="8">
        <f t="shared" si="14"/>
        <v>19.814814814814813</v>
      </c>
      <c r="AC11" s="8">
        <f t="shared" si="15"/>
        <v>2.8752297632492816</v>
      </c>
    </row>
    <row r="12" spans="1:29" ht="15.75" customHeight="1">
      <c r="A12" s="49" t="s">
        <v>57</v>
      </c>
      <c r="B12" s="5">
        <v>44397</v>
      </c>
      <c r="C12" s="14" t="s">
        <v>24</v>
      </c>
      <c r="D12" s="6">
        <v>3</v>
      </c>
      <c r="E12" s="6">
        <v>4</v>
      </c>
      <c r="F12" s="6">
        <v>3</v>
      </c>
      <c r="G12" s="6">
        <v>4</v>
      </c>
      <c r="H12" s="6">
        <v>3</v>
      </c>
      <c r="I12" s="6">
        <v>4</v>
      </c>
      <c r="J12" s="7">
        <f t="shared" si="0"/>
        <v>21</v>
      </c>
      <c r="K12" s="7" t="str">
        <f>INDEX(Tabla2[Equipo],MATCH(Tabla1[[#This Row],[Nombre]],Tabla2[Nombre],0))</f>
        <v>EQUIPO 1</v>
      </c>
      <c r="L12" s="7" t="str">
        <f>INDEX(Tabla2[Deporte],MATCH(Tabla1[[#This Row],[Nombre]],Tabla2[Nombre],0))</f>
        <v>Futbol</v>
      </c>
      <c r="M12" s="7" t="str">
        <f>INDEX(Tabla2[Puesto],MATCH(Tabla1[[#This Row],[Nombre]],Tabla2[Nombre],0))</f>
        <v>Defensor</v>
      </c>
      <c r="N12" s="58">
        <f>IF(Tabla1[[#This Row],[Disponibilidad]]="Full",1,IF(Tabla1[[#This Row],[Disponibilidad]]="Parcial",2,IF(Tabla1[[#This Row],[Disponibilidad]]="Lesión",3,"")))</f>
        <v>2</v>
      </c>
      <c r="O12" s="8">
        <f t="shared" si="1"/>
        <v>3.1111111111111112</v>
      </c>
      <c r="P12" s="8">
        <f t="shared" si="2"/>
        <v>0.71813875430883989</v>
      </c>
      <c r="Q12" s="8">
        <f t="shared" si="3"/>
        <v>-0.15472095113157919</v>
      </c>
      <c r="R12" s="8">
        <f t="shared" si="4"/>
        <v>3.5925925925925926</v>
      </c>
      <c r="S12" s="8">
        <f t="shared" si="5"/>
        <v>0.96188726673470404</v>
      </c>
      <c r="T12" s="8">
        <f t="shared" si="6"/>
        <v>3.2777777777777777</v>
      </c>
      <c r="U12" s="8">
        <f t="shared" si="7"/>
        <v>0.73758061066754266</v>
      </c>
      <c r="V12" s="8">
        <f t="shared" si="8"/>
        <v>3.425925925925926</v>
      </c>
      <c r="W12" s="8">
        <f t="shared" si="9"/>
        <v>0.86005379059183884</v>
      </c>
      <c r="X12" s="8">
        <f t="shared" si="10"/>
        <v>2.9814814814814814</v>
      </c>
      <c r="Y12" s="8">
        <f t="shared" si="11"/>
        <v>0.83532257334360727</v>
      </c>
      <c r="Z12" s="8">
        <f t="shared" si="12"/>
        <v>3.425925925925926</v>
      </c>
      <c r="AA12" s="8">
        <f t="shared" si="13"/>
        <v>0.79150803883572729</v>
      </c>
      <c r="AB12" s="8">
        <f t="shared" si="14"/>
        <v>19.814814814814813</v>
      </c>
      <c r="AC12" s="8">
        <f t="shared" si="15"/>
        <v>2.8752297632492816</v>
      </c>
    </row>
    <row r="13" spans="1:29" ht="15.75" customHeight="1">
      <c r="A13" s="49" t="s">
        <v>57</v>
      </c>
      <c r="B13" s="5">
        <v>44398</v>
      </c>
      <c r="C13" s="14" t="s">
        <v>24</v>
      </c>
      <c r="D13" s="6">
        <v>3</v>
      </c>
      <c r="E13" s="6">
        <v>3</v>
      </c>
      <c r="F13" s="6">
        <v>4</v>
      </c>
      <c r="G13" s="6">
        <v>4</v>
      </c>
      <c r="H13" s="6">
        <v>4</v>
      </c>
      <c r="I13" s="6">
        <v>4</v>
      </c>
      <c r="J13" s="7">
        <f t="shared" si="0"/>
        <v>22</v>
      </c>
      <c r="K13" s="7" t="str">
        <f>INDEX(Tabla2[Equipo],MATCH(Tabla1[[#This Row],[Nombre]],Tabla2[Nombre],0))</f>
        <v>EQUIPO 1</v>
      </c>
      <c r="L13" s="7" t="str">
        <f>INDEX(Tabla2[Deporte],MATCH(Tabla1[[#This Row],[Nombre]],Tabla2[Nombre],0))</f>
        <v>Futbol</v>
      </c>
      <c r="M13" s="7" t="str">
        <f>INDEX(Tabla2[Puesto],MATCH(Tabla1[[#This Row],[Nombre]],Tabla2[Nombre],0))</f>
        <v>Defensor</v>
      </c>
      <c r="N13" s="58">
        <f>IF(Tabla1[[#This Row],[Disponibilidad]]="Full",1,IF(Tabla1[[#This Row],[Disponibilidad]]="Parcial",2,IF(Tabla1[[#This Row],[Disponibilidad]]="Lesión",3,"")))</f>
        <v>2</v>
      </c>
      <c r="O13" s="8">
        <f t="shared" si="1"/>
        <v>3.1111111111111112</v>
      </c>
      <c r="P13" s="8">
        <f t="shared" si="2"/>
        <v>0.71813875430883989</v>
      </c>
      <c r="Q13" s="8">
        <f t="shared" si="3"/>
        <v>-0.15472095113157919</v>
      </c>
      <c r="R13" s="8">
        <f t="shared" si="4"/>
        <v>3.5925925925925926</v>
      </c>
      <c r="S13" s="8">
        <f t="shared" si="5"/>
        <v>0.96188726673470404</v>
      </c>
      <c r="T13" s="8">
        <f t="shared" si="6"/>
        <v>3.2777777777777777</v>
      </c>
      <c r="U13" s="8">
        <f t="shared" si="7"/>
        <v>0.73758061066754266</v>
      </c>
      <c r="V13" s="8">
        <f t="shared" si="8"/>
        <v>3.425925925925926</v>
      </c>
      <c r="W13" s="8">
        <f t="shared" si="9"/>
        <v>0.86005379059183884</v>
      </c>
      <c r="X13" s="8">
        <f t="shared" si="10"/>
        <v>2.9814814814814814</v>
      </c>
      <c r="Y13" s="8">
        <f t="shared" si="11"/>
        <v>0.83532257334360727</v>
      </c>
      <c r="Z13" s="8">
        <f t="shared" si="12"/>
        <v>3.425925925925926</v>
      </c>
      <c r="AA13" s="8">
        <f t="shared" si="13"/>
        <v>0.79150803883572729</v>
      </c>
      <c r="AB13" s="8">
        <f t="shared" si="14"/>
        <v>19.814814814814813</v>
      </c>
      <c r="AC13" s="8">
        <f t="shared" si="15"/>
        <v>2.8752297632492816</v>
      </c>
    </row>
    <row r="14" spans="1:29" ht="15.75" customHeight="1">
      <c r="A14" s="49" t="s">
        <v>57</v>
      </c>
      <c r="B14" s="5">
        <v>44399</v>
      </c>
      <c r="C14" s="14" t="s">
        <v>24</v>
      </c>
      <c r="D14" s="6">
        <v>3</v>
      </c>
      <c r="E14" s="6">
        <v>3</v>
      </c>
      <c r="F14" s="6">
        <v>3</v>
      </c>
      <c r="G14" s="6">
        <v>3</v>
      </c>
      <c r="H14" s="6">
        <v>2</v>
      </c>
      <c r="I14" s="6">
        <v>3</v>
      </c>
      <c r="J14" s="7">
        <f t="shared" si="0"/>
        <v>17</v>
      </c>
      <c r="K14" s="7" t="str">
        <f>INDEX(Tabla2[Equipo],MATCH(Tabla1[[#This Row],[Nombre]],Tabla2[Nombre],0))</f>
        <v>EQUIPO 1</v>
      </c>
      <c r="L14" s="7" t="str">
        <f>INDEX(Tabla2[Deporte],MATCH(Tabla1[[#This Row],[Nombre]],Tabla2[Nombre],0))</f>
        <v>Futbol</v>
      </c>
      <c r="M14" s="7" t="str">
        <f>INDEX(Tabla2[Puesto],MATCH(Tabla1[[#This Row],[Nombre]],Tabla2[Nombre],0))</f>
        <v>Defensor</v>
      </c>
      <c r="N14" s="58">
        <f>IF(Tabla1[[#This Row],[Disponibilidad]]="Full",1,IF(Tabla1[[#This Row],[Disponibilidad]]="Parcial",2,IF(Tabla1[[#This Row],[Disponibilidad]]="Lesión",3,"")))</f>
        <v>2</v>
      </c>
      <c r="O14" s="8">
        <f t="shared" si="1"/>
        <v>3.1111111111111112</v>
      </c>
      <c r="P14" s="8">
        <f t="shared" si="2"/>
        <v>0.71813875430883989</v>
      </c>
      <c r="Q14" s="8">
        <f t="shared" si="3"/>
        <v>-0.15472095113157919</v>
      </c>
      <c r="R14" s="8">
        <f t="shared" si="4"/>
        <v>3.5925925925925926</v>
      </c>
      <c r="S14" s="8">
        <f t="shared" si="5"/>
        <v>0.96188726673470404</v>
      </c>
      <c r="T14" s="8">
        <f t="shared" si="6"/>
        <v>3.2777777777777777</v>
      </c>
      <c r="U14" s="8">
        <f t="shared" si="7"/>
        <v>0.73758061066754266</v>
      </c>
      <c r="V14" s="8">
        <f t="shared" si="8"/>
        <v>3.425925925925926</v>
      </c>
      <c r="W14" s="8">
        <f t="shared" si="9"/>
        <v>0.86005379059183884</v>
      </c>
      <c r="X14" s="8">
        <f t="shared" si="10"/>
        <v>2.9814814814814814</v>
      </c>
      <c r="Y14" s="8">
        <f t="shared" si="11"/>
        <v>0.83532257334360727</v>
      </c>
      <c r="Z14" s="8">
        <f t="shared" si="12"/>
        <v>3.425925925925926</v>
      </c>
      <c r="AA14" s="8">
        <f t="shared" si="13"/>
        <v>0.79150803883572729</v>
      </c>
      <c r="AB14" s="8">
        <f t="shared" si="14"/>
        <v>19.814814814814813</v>
      </c>
      <c r="AC14" s="8">
        <f t="shared" si="15"/>
        <v>2.8752297632492816</v>
      </c>
    </row>
    <row r="15" spans="1:29" ht="15.75" customHeight="1">
      <c r="A15" s="49" t="s">
        <v>57</v>
      </c>
      <c r="B15" s="5">
        <v>44400</v>
      </c>
      <c r="C15" s="14" t="s">
        <v>23</v>
      </c>
      <c r="D15" s="6">
        <v>3</v>
      </c>
      <c r="E15" s="6">
        <v>4</v>
      </c>
      <c r="F15" s="6">
        <v>4</v>
      </c>
      <c r="G15" s="6">
        <v>4</v>
      </c>
      <c r="H15" s="6">
        <v>2</v>
      </c>
      <c r="I15" s="6">
        <v>4</v>
      </c>
      <c r="J15" s="7">
        <f t="shared" si="0"/>
        <v>21</v>
      </c>
      <c r="K15" s="7" t="str">
        <f>INDEX(Tabla2[Equipo],MATCH(Tabla1[[#This Row],[Nombre]],Tabla2[Nombre],0))</f>
        <v>EQUIPO 1</v>
      </c>
      <c r="L15" s="7" t="str">
        <f>INDEX(Tabla2[Deporte],MATCH(Tabla1[[#This Row],[Nombre]],Tabla2[Nombre],0))</f>
        <v>Futbol</v>
      </c>
      <c r="M15" s="7" t="str">
        <f>INDEX(Tabla2[Puesto],MATCH(Tabla1[[#This Row],[Nombre]],Tabla2[Nombre],0))</f>
        <v>Defensor</v>
      </c>
      <c r="N15" s="58">
        <f>IF(Tabla1[[#This Row],[Disponibilidad]]="Full",1,IF(Tabla1[[#This Row],[Disponibilidad]]="Parcial",2,IF(Tabla1[[#This Row],[Disponibilidad]]="Lesión",3,"")))</f>
        <v>1</v>
      </c>
      <c r="O15" s="8">
        <f t="shared" si="1"/>
        <v>3.1111111111111112</v>
      </c>
      <c r="P15" s="8">
        <f t="shared" si="2"/>
        <v>0.71813875430883989</v>
      </c>
      <c r="Q15" s="8">
        <f t="shared" si="3"/>
        <v>-0.15472095113157919</v>
      </c>
      <c r="R15" s="8">
        <f t="shared" si="4"/>
        <v>3.5925925925925926</v>
      </c>
      <c r="S15" s="8">
        <f t="shared" si="5"/>
        <v>0.96188726673470404</v>
      </c>
      <c r="T15" s="8">
        <f t="shared" si="6"/>
        <v>3.2777777777777777</v>
      </c>
      <c r="U15" s="8">
        <f t="shared" si="7"/>
        <v>0.73758061066754266</v>
      </c>
      <c r="V15" s="8">
        <f t="shared" si="8"/>
        <v>3.425925925925926</v>
      </c>
      <c r="W15" s="8">
        <f t="shared" si="9"/>
        <v>0.86005379059183884</v>
      </c>
      <c r="X15" s="8">
        <f t="shared" si="10"/>
        <v>2.9814814814814814</v>
      </c>
      <c r="Y15" s="8">
        <f t="shared" si="11"/>
        <v>0.83532257334360727</v>
      </c>
      <c r="Z15" s="8">
        <f t="shared" si="12"/>
        <v>3.425925925925926</v>
      </c>
      <c r="AA15" s="8">
        <f t="shared" si="13"/>
        <v>0.79150803883572729</v>
      </c>
      <c r="AB15" s="8">
        <f t="shared" si="14"/>
        <v>19.814814814814813</v>
      </c>
      <c r="AC15" s="8">
        <f t="shared" si="15"/>
        <v>2.8752297632492816</v>
      </c>
    </row>
    <row r="16" spans="1:29" ht="15.75" customHeight="1">
      <c r="A16" s="49" t="s">
        <v>57</v>
      </c>
      <c r="B16" s="5">
        <v>44401</v>
      </c>
      <c r="C16" s="14" t="s">
        <v>23</v>
      </c>
      <c r="D16" s="6">
        <v>4</v>
      </c>
      <c r="E16" s="6">
        <v>4</v>
      </c>
      <c r="F16" s="6">
        <v>4</v>
      </c>
      <c r="G16" s="6">
        <v>4</v>
      </c>
      <c r="H16" s="6">
        <v>4</v>
      </c>
      <c r="I16" s="6">
        <v>4</v>
      </c>
      <c r="J16" s="7">
        <f t="shared" si="0"/>
        <v>24</v>
      </c>
      <c r="K16" s="7" t="str">
        <f>INDEX(Tabla2[Equipo],MATCH(Tabla1[[#This Row],[Nombre]],Tabla2[Nombre],0))</f>
        <v>EQUIPO 1</v>
      </c>
      <c r="L16" s="7" t="str">
        <f>INDEX(Tabla2[Deporte],MATCH(Tabla1[[#This Row],[Nombre]],Tabla2[Nombre],0))</f>
        <v>Futbol</v>
      </c>
      <c r="M16" s="7" t="str">
        <f>INDEX(Tabla2[Puesto],MATCH(Tabla1[[#This Row],[Nombre]],Tabla2[Nombre],0))</f>
        <v>Defensor</v>
      </c>
      <c r="N16" s="58">
        <f>IF(Tabla1[[#This Row],[Disponibilidad]]="Full",1,IF(Tabla1[[#This Row],[Disponibilidad]]="Parcial",2,IF(Tabla1[[#This Row],[Disponibilidad]]="Lesión",3,"")))</f>
        <v>1</v>
      </c>
      <c r="O16" s="8">
        <f t="shared" si="1"/>
        <v>3.1111111111111112</v>
      </c>
      <c r="P16" s="8">
        <f t="shared" si="2"/>
        <v>0.71813875430883989</v>
      </c>
      <c r="Q16" s="8">
        <f t="shared" si="3"/>
        <v>1.2377676090526328</v>
      </c>
      <c r="R16" s="8">
        <f t="shared" si="4"/>
        <v>3.5925925925925926</v>
      </c>
      <c r="S16" s="8">
        <f t="shared" si="5"/>
        <v>0.96188726673470404</v>
      </c>
      <c r="T16" s="8">
        <f t="shared" si="6"/>
        <v>3.2777777777777777</v>
      </c>
      <c r="U16" s="8">
        <f t="shared" si="7"/>
        <v>0.73758061066754266</v>
      </c>
      <c r="V16" s="8">
        <f t="shared" si="8"/>
        <v>3.425925925925926</v>
      </c>
      <c r="W16" s="8">
        <f t="shared" si="9"/>
        <v>0.86005379059183884</v>
      </c>
      <c r="X16" s="8">
        <f t="shared" si="10"/>
        <v>2.9814814814814814</v>
      </c>
      <c r="Y16" s="8">
        <f t="shared" si="11"/>
        <v>0.83532257334360727</v>
      </c>
      <c r="Z16" s="8">
        <f t="shared" si="12"/>
        <v>3.425925925925926</v>
      </c>
      <c r="AA16" s="8">
        <f t="shared" si="13"/>
        <v>0.79150803883572729</v>
      </c>
      <c r="AB16" s="8">
        <f t="shared" si="14"/>
        <v>19.814814814814813</v>
      </c>
      <c r="AC16" s="8">
        <f t="shared" si="15"/>
        <v>2.8752297632492816</v>
      </c>
    </row>
    <row r="17" spans="1:29" ht="15.75" customHeight="1">
      <c r="A17" s="49" t="s">
        <v>57</v>
      </c>
      <c r="B17" s="5">
        <v>44403</v>
      </c>
      <c r="C17" s="14" t="s">
        <v>23</v>
      </c>
      <c r="D17" s="6">
        <v>3</v>
      </c>
      <c r="E17" s="6">
        <v>4</v>
      </c>
      <c r="F17" s="6">
        <v>3</v>
      </c>
      <c r="G17" s="6">
        <v>4</v>
      </c>
      <c r="H17" s="6">
        <v>4</v>
      </c>
      <c r="I17" s="6">
        <v>4</v>
      </c>
      <c r="J17" s="7">
        <f t="shared" si="0"/>
        <v>22</v>
      </c>
      <c r="K17" s="7" t="str">
        <f>INDEX(Tabla2[Equipo],MATCH(Tabla1[[#This Row],[Nombre]],Tabla2[Nombre],0))</f>
        <v>EQUIPO 1</v>
      </c>
      <c r="L17" s="7" t="str">
        <f>INDEX(Tabla2[Deporte],MATCH(Tabla1[[#This Row],[Nombre]],Tabla2[Nombre],0))</f>
        <v>Futbol</v>
      </c>
      <c r="M17" s="7" t="str">
        <f>INDEX(Tabla2[Puesto],MATCH(Tabla1[[#This Row],[Nombre]],Tabla2[Nombre],0))</f>
        <v>Defensor</v>
      </c>
      <c r="N17" s="58">
        <f>IF(Tabla1[[#This Row],[Disponibilidad]]="Full",1,IF(Tabla1[[#This Row],[Disponibilidad]]="Parcial",2,IF(Tabla1[[#This Row],[Disponibilidad]]="Lesión",3,"")))</f>
        <v>1</v>
      </c>
      <c r="O17" s="8">
        <f t="shared" si="1"/>
        <v>3.1111111111111112</v>
      </c>
      <c r="P17" s="8">
        <f t="shared" si="2"/>
        <v>0.71813875430883989</v>
      </c>
      <c r="Q17" s="8">
        <f t="shared" si="3"/>
        <v>-0.15472095113157919</v>
      </c>
      <c r="R17" s="8">
        <f t="shared" si="4"/>
        <v>3.5925925925925926</v>
      </c>
      <c r="S17" s="8">
        <f t="shared" si="5"/>
        <v>0.96188726673470404</v>
      </c>
      <c r="T17" s="8">
        <f t="shared" si="6"/>
        <v>3.2777777777777777</v>
      </c>
      <c r="U17" s="8">
        <f t="shared" si="7"/>
        <v>0.73758061066754266</v>
      </c>
      <c r="V17" s="8">
        <f t="shared" si="8"/>
        <v>3.425925925925926</v>
      </c>
      <c r="W17" s="8">
        <f t="shared" si="9"/>
        <v>0.86005379059183884</v>
      </c>
      <c r="X17" s="8">
        <f t="shared" si="10"/>
        <v>2.9814814814814814</v>
      </c>
      <c r="Y17" s="8">
        <f t="shared" si="11"/>
        <v>0.83532257334360727</v>
      </c>
      <c r="Z17" s="8">
        <f t="shared" si="12"/>
        <v>3.425925925925926</v>
      </c>
      <c r="AA17" s="8">
        <f t="shared" si="13"/>
        <v>0.79150803883572729</v>
      </c>
      <c r="AB17" s="8">
        <f t="shared" si="14"/>
        <v>19.814814814814813</v>
      </c>
      <c r="AC17" s="8">
        <f t="shared" si="15"/>
        <v>2.8752297632492816</v>
      </c>
    </row>
    <row r="18" spans="1:29" ht="15.75" customHeight="1">
      <c r="A18" s="49" t="s">
        <v>57</v>
      </c>
      <c r="B18" s="5">
        <v>44405</v>
      </c>
      <c r="C18" s="14" t="s">
        <v>23</v>
      </c>
      <c r="D18" s="9">
        <v>3</v>
      </c>
      <c r="E18" s="9">
        <v>4</v>
      </c>
      <c r="F18" s="9">
        <v>3</v>
      </c>
      <c r="G18" s="9">
        <v>4</v>
      </c>
      <c r="H18" s="9">
        <v>3</v>
      </c>
      <c r="I18" s="9">
        <v>4</v>
      </c>
      <c r="J18" s="7">
        <f t="shared" si="0"/>
        <v>21</v>
      </c>
      <c r="K18" s="7" t="str">
        <f>INDEX(Tabla2[Equipo],MATCH(Tabla1[[#This Row],[Nombre]],Tabla2[Nombre],0))</f>
        <v>EQUIPO 1</v>
      </c>
      <c r="L18" s="7" t="str">
        <f>INDEX(Tabla2[Deporte],MATCH(Tabla1[[#This Row],[Nombre]],Tabla2[Nombre],0))</f>
        <v>Futbol</v>
      </c>
      <c r="M18" s="7" t="str">
        <f>INDEX(Tabla2[Puesto],MATCH(Tabla1[[#This Row],[Nombre]],Tabla2[Nombre],0))</f>
        <v>Defensor</v>
      </c>
      <c r="N18" s="58">
        <f>IF(Tabla1[[#This Row],[Disponibilidad]]="Full",1,IF(Tabla1[[#This Row],[Disponibilidad]]="Parcial",2,IF(Tabla1[[#This Row],[Disponibilidad]]="Lesión",3,"")))</f>
        <v>1</v>
      </c>
      <c r="O18" s="8">
        <f t="shared" si="1"/>
        <v>3.1111111111111112</v>
      </c>
      <c r="P18" s="8">
        <f t="shared" si="2"/>
        <v>0.71813875430883989</v>
      </c>
      <c r="Q18" s="8">
        <f t="shared" si="3"/>
        <v>-0.15472095113157919</v>
      </c>
      <c r="R18" s="8">
        <f t="shared" si="4"/>
        <v>3.5925925925925926</v>
      </c>
      <c r="S18" s="8">
        <f t="shared" si="5"/>
        <v>0.96188726673470404</v>
      </c>
      <c r="T18" s="8">
        <f t="shared" si="6"/>
        <v>3.2777777777777777</v>
      </c>
      <c r="U18" s="8">
        <f t="shared" si="7"/>
        <v>0.73758061066754266</v>
      </c>
      <c r="V18" s="8">
        <f t="shared" si="8"/>
        <v>3.425925925925926</v>
      </c>
      <c r="W18" s="8">
        <f t="shared" si="9"/>
        <v>0.86005379059183884</v>
      </c>
      <c r="X18" s="8">
        <f t="shared" si="10"/>
        <v>2.9814814814814814</v>
      </c>
      <c r="Y18" s="8">
        <f t="shared" si="11"/>
        <v>0.83532257334360727</v>
      </c>
      <c r="Z18" s="8">
        <f t="shared" si="12"/>
        <v>3.425925925925926</v>
      </c>
      <c r="AA18" s="8">
        <f t="shared" si="13"/>
        <v>0.79150803883572729</v>
      </c>
      <c r="AB18" s="8">
        <f t="shared" si="14"/>
        <v>19.814814814814813</v>
      </c>
      <c r="AC18" s="8">
        <f t="shared" si="15"/>
        <v>2.8752297632492816</v>
      </c>
    </row>
    <row r="19" spans="1:29" ht="15.75" customHeight="1">
      <c r="A19" s="49" t="s">
        <v>57</v>
      </c>
      <c r="B19" s="5">
        <v>44406</v>
      </c>
      <c r="C19" s="14" t="s">
        <v>23</v>
      </c>
      <c r="D19" s="9">
        <v>3</v>
      </c>
      <c r="E19" s="9">
        <v>3</v>
      </c>
      <c r="F19" s="9">
        <v>4</v>
      </c>
      <c r="G19" s="9">
        <v>2</v>
      </c>
      <c r="H19" s="9">
        <v>2</v>
      </c>
      <c r="I19" s="9">
        <v>3</v>
      </c>
      <c r="J19" s="7">
        <f t="shared" si="0"/>
        <v>17</v>
      </c>
      <c r="K19" s="7" t="str">
        <f>INDEX(Tabla2[Equipo],MATCH(Tabla1[[#This Row],[Nombre]],Tabla2[Nombre],0))</f>
        <v>EQUIPO 1</v>
      </c>
      <c r="L19" s="7" t="str">
        <f>INDEX(Tabla2[Deporte],MATCH(Tabla1[[#This Row],[Nombre]],Tabla2[Nombre],0))</f>
        <v>Futbol</v>
      </c>
      <c r="M19" s="7" t="str">
        <f>INDEX(Tabla2[Puesto],MATCH(Tabla1[[#This Row],[Nombre]],Tabla2[Nombre],0))</f>
        <v>Defensor</v>
      </c>
      <c r="N19" s="58">
        <f>IF(Tabla1[[#This Row],[Disponibilidad]]="Full",1,IF(Tabla1[[#This Row],[Disponibilidad]]="Parcial",2,IF(Tabla1[[#This Row],[Disponibilidad]]="Lesión",3,"")))</f>
        <v>1</v>
      </c>
      <c r="O19" s="8">
        <f t="shared" si="1"/>
        <v>3.1111111111111112</v>
      </c>
      <c r="P19" s="8">
        <f t="shared" si="2"/>
        <v>0.71813875430883989</v>
      </c>
      <c r="Q19" s="8">
        <f t="shared" si="3"/>
        <v>-0.15472095113157919</v>
      </c>
      <c r="R19" s="8">
        <f t="shared" si="4"/>
        <v>3.5925925925925926</v>
      </c>
      <c r="S19" s="8">
        <f t="shared" si="5"/>
        <v>0.96188726673470404</v>
      </c>
      <c r="T19" s="8">
        <f t="shared" si="6"/>
        <v>3.2777777777777777</v>
      </c>
      <c r="U19" s="8">
        <f t="shared" si="7"/>
        <v>0.73758061066754266</v>
      </c>
      <c r="V19" s="8">
        <f t="shared" si="8"/>
        <v>3.425925925925926</v>
      </c>
      <c r="W19" s="8">
        <f t="shared" si="9"/>
        <v>0.86005379059183884</v>
      </c>
      <c r="X19" s="8">
        <f t="shared" si="10"/>
        <v>2.9814814814814814</v>
      </c>
      <c r="Y19" s="8">
        <f t="shared" si="11"/>
        <v>0.83532257334360727</v>
      </c>
      <c r="Z19" s="8">
        <f t="shared" si="12"/>
        <v>3.425925925925926</v>
      </c>
      <c r="AA19" s="8">
        <f t="shared" si="13"/>
        <v>0.79150803883572729</v>
      </c>
      <c r="AB19" s="8">
        <f t="shared" si="14"/>
        <v>19.814814814814813</v>
      </c>
      <c r="AC19" s="8">
        <f t="shared" si="15"/>
        <v>2.8752297632492816</v>
      </c>
    </row>
    <row r="20" spans="1:29" ht="15.75" customHeight="1">
      <c r="A20" s="49" t="s">
        <v>58</v>
      </c>
      <c r="B20" s="5">
        <v>44378</v>
      </c>
      <c r="C20" s="14" t="s">
        <v>23</v>
      </c>
      <c r="D20" s="6">
        <v>3</v>
      </c>
      <c r="E20" s="6">
        <v>5</v>
      </c>
      <c r="F20" s="6">
        <v>3</v>
      </c>
      <c r="G20" s="6">
        <v>3</v>
      </c>
      <c r="H20" s="6">
        <v>3</v>
      </c>
      <c r="I20" s="6">
        <v>3</v>
      </c>
      <c r="J20" s="7">
        <f t="shared" ref="J20:J55" si="16">SUM(D20:I20)</f>
        <v>20</v>
      </c>
      <c r="K20" s="7" t="str">
        <f>INDEX(Tabla2[Equipo],MATCH(Tabla1[[#This Row],[Nombre]],Tabla2[Nombre],0))</f>
        <v>EQUIPO 2</v>
      </c>
      <c r="L20" s="7" t="str">
        <f>INDEX(Tabla2[Deporte],MATCH(Tabla1[[#This Row],[Nombre]],Tabla2[Nombre],0))</f>
        <v>Futbol</v>
      </c>
      <c r="M20" s="7" t="str">
        <f>INDEX(Tabla2[Puesto],MATCH(Tabla1[[#This Row],[Nombre]],Tabla2[Nombre],0))</f>
        <v>Defensor</v>
      </c>
      <c r="N20" s="58">
        <f>IF(Tabla1[[#This Row],[Disponibilidad]]="Full",1,IF(Tabla1[[#This Row],[Disponibilidad]]="Parcial",2,IF(Tabla1[[#This Row],[Disponibilidad]]="Lesión",3,"")))</f>
        <v>1</v>
      </c>
      <c r="O20" s="8">
        <f t="shared" si="1"/>
        <v>3.1111111111111112</v>
      </c>
      <c r="P20" s="8">
        <f t="shared" si="2"/>
        <v>0.71813875430883989</v>
      </c>
      <c r="Q20" s="8">
        <f t="shared" si="3"/>
        <v>-0.15472095113157919</v>
      </c>
      <c r="R20" s="8">
        <f t="shared" si="4"/>
        <v>3.5925925925925926</v>
      </c>
      <c r="S20" s="8">
        <f t="shared" si="5"/>
        <v>0.96188726673470404</v>
      </c>
      <c r="T20" s="8">
        <f t="shared" si="6"/>
        <v>3.2777777777777777</v>
      </c>
      <c r="U20" s="8">
        <f t="shared" si="7"/>
        <v>0.73758061066754266</v>
      </c>
      <c r="V20" s="8">
        <f t="shared" si="8"/>
        <v>3.425925925925926</v>
      </c>
      <c r="W20" s="8">
        <f t="shared" si="9"/>
        <v>0.86005379059183884</v>
      </c>
      <c r="X20" s="8">
        <f t="shared" si="10"/>
        <v>2.9814814814814814</v>
      </c>
      <c r="Y20" s="8">
        <f t="shared" si="11"/>
        <v>0.83532257334360727</v>
      </c>
      <c r="Z20" s="8">
        <f t="shared" si="12"/>
        <v>3.425925925925926</v>
      </c>
      <c r="AA20" s="8">
        <f t="shared" si="13"/>
        <v>0.79150803883572729</v>
      </c>
      <c r="AB20" s="8">
        <f t="shared" si="14"/>
        <v>19.814814814814813</v>
      </c>
      <c r="AC20" s="8">
        <f t="shared" si="15"/>
        <v>2.8752297632492816</v>
      </c>
    </row>
    <row r="21" spans="1:29" ht="15.75" customHeight="1">
      <c r="A21" s="49" t="s">
        <v>58</v>
      </c>
      <c r="B21" s="5">
        <v>44382</v>
      </c>
      <c r="C21" s="14" t="s">
        <v>23</v>
      </c>
      <c r="D21" s="6">
        <v>3</v>
      </c>
      <c r="E21" s="6">
        <v>4</v>
      </c>
      <c r="F21" s="6">
        <v>4</v>
      </c>
      <c r="G21" s="6">
        <v>4</v>
      </c>
      <c r="H21" s="6">
        <v>4</v>
      </c>
      <c r="I21" s="6">
        <v>4</v>
      </c>
      <c r="J21" s="7">
        <f t="shared" si="16"/>
        <v>23</v>
      </c>
      <c r="K21" s="7" t="str">
        <f>INDEX(Tabla2[Equipo],MATCH(Tabla1[[#This Row],[Nombre]],Tabla2[Nombre],0))</f>
        <v>EQUIPO 2</v>
      </c>
      <c r="L21" s="7" t="str">
        <f>INDEX(Tabla2[Deporte],MATCH(Tabla1[[#This Row],[Nombre]],Tabla2[Nombre],0))</f>
        <v>Futbol</v>
      </c>
      <c r="M21" s="7" t="str">
        <f>INDEX(Tabla2[Puesto],MATCH(Tabla1[[#This Row],[Nombre]],Tabla2[Nombre],0))</f>
        <v>Defensor</v>
      </c>
      <c r="N21" s="58">
        <f>IF(Tabla1[[#This Row],[Disponibilidad]]="Full",1,IF(Tabla1[[#This Row],[Disponibilidad]]="Parcial",2,IF(Tabla1[[#This Row],[Disponibilidad]]="Lesión",3,"")))</f>
        <v>1</v>
      </c>
      <c r="O21" s="8">
        <f t="shared" si="1"/>
        <v>3.1111111111111112</v>
      </c>
      <c r="P21" s="8">
        <f t="shared" si="2"/>
        <v>0.71813875430883989</v>
      </c>
      <c r="Q21" s="8">
        <f t="shared" si="3"/>
        <v>-0.15472095113157919</v>
      </c>
      <c r="R21" s="8">
        <f t="shared" si="4"/>
        <v>3.5925925925925926</v>
      </c>
      <c r="S21" s="8">
        <f t="shared" si="5"/>
        <v>0.96188726673470404</v>
      </c>
      <c r="T21" s="8">
        <f t="shared" si="6"/>
        <v>3.2777777777777777</v>
      </c>
      <c r="U21" s="8">
        <f t="shared" si="7"/>
        <v>0.73758061066754266</v>
      </c>
      <c r="V21" s="8">
        <f t="shared" si="8"/>
        <v>3.425925925925926</v>
      </c>
      <c r="W21" s="8">
        <f t="shared" si="9"/>
        <v>0.86005379059183884</v>
      </c>
      <c r="X21" s="8">
        <f t="shared" si="10"/>
        <v>2.9814814814814814</v>
      </c>
      <c r="Y21" s="8">
        <f t="shared" si="11"/>
        <v>0.83532257334360727</v>
      </c>
      <c r="Z21" s="8">
        <f t="shared" si="12"/>
        <v>3.425925925925926</v>
      </c>
      <c r="AA21" s="8">
        <f t="shared" si="13"/>
        <v>0.79150803883572729</v>
      </c>
      <c r="AB21" s="8">
        <f t="shared" si="14"/>
        <v>19.814814814814813</v>
      </c>
      <c r="AC21" s="8">
        <f t="shared" si="15"/>
        <v>2.8752297632492816</v>
      </c>
    </row>
    <row r="22" spans="1:29" ht="15.75" customHeight="1">
      <c r="A22" s="49" t="s">
        <v>58</v>
      </c>
      <c r="B22" s="5">
        <v>44383</v>
      </c>
      <c r="C22" s="14" t="s">
        <v>23</v>
      </c>
      <c r="D22" s="6">
        <v>4</v>
      </c>
      <c r="E22" s="6">
        <v>2</v>
      </c>
      <c r="F22" s="6">
        <v>2</v>
      </c>
      <c r="G22" s="6">
        <v>2</v>
      </c>
      <c r="H22" s="6">
        <v>2</v>
      </c>
      <c r="I22" s="6">
        <v>3</v>
      </c>
      <c r="J22" s="7">
        <f t="shared" si="16"/>
        <v>15</v>
      </c>
      <c r="K22" s="7" t="str">
        <f>INDEX(Tabla2[Equipo],MATCH(Tabla1[[#This Row],[Nombre]],Tabla2[Nombre],0))</f>
        <v>EQUIPO 2</v>
      </c>
      <c r="L22" s="7" t="str">
        <f>INDEX(Tabla2[Deporte],MATCH(Tabla1[[#This Row],[Nombre]],Tabla2[Nombre],0))</f>
        <v>Futbol</v>
      </c>
      <c r="M22" s="7" t="str">
        <f>INDEX(Tabla2[Puesto],MATCH(Tabla1[[#This Row],[Nombre]],Tabla2[Nombre],0))</f>
        <v>Defensor</v>
      </c>
      <c r="N22" s="58">
        <f>IF(Tabla1[[#This Row],[Disponibilidad]]="Full",1,IF(Tabla1[[#This Row],[Disponibilidad]]="Parcial",2,IF(Tabla1[[#This Row],[Disponibilidad]]="Lesión",3,"")))</f>
        <v>1</v>
      </c>
      <c r="O22" s="8">
        <f t="shared" si="1"/>
        <v>3.1111111111111112</v>
      </c>
      <c r="P22" s="8">
        <f t="shared" si="2"/>
        <v>0.71813875430883989</v>
      </c>
      <c r="Q22" s="8">
        <f t="shared" si="3"/>
        <v>1.2377676090526328</v>
      </c>
      <c r="R22" s="8">
        <f t="shared" si="4"/>
        <v>3.5925925925925926</v>
      </c>
      <c r="S22" s="8">
        <f t="shared" si="5"/>
        <v>0.96188726673470404</v>
      </c>
      <c r="T22" s="8">
        <f t="shared" si="6"/>
        <v>3.2777777777777777</v>
      </c>
      <c r="U22" s="8">
        <f t="shared" si="7"/>
        <v>0.73758061066754266</v>
      </c>
      <c r="V22" s="8">
        <f t="shared" si="8"/>
        <v>3.425925925925926</v>
      </c>
      <c r="W22" s="8">
        <f t="shared" si="9"/>
        <v>0.86005379059183884</v>
      </c>
      <c r="X22" s="8">
        <f t="shared" si="10"/>
        <v>2.9814814814814814</v>
      </c>
      <c r="Y22" s="8">
        <f t="shared" si="11"/>
        <v>0.83532257334360727</v>
      </c>
      <c r="Z22" s="8">
        <f t="shared" si="12"/>
        <v>3.425925925925926</v>
      </c>
      <c r="AA22" s="8">
        <f t="shared" si="13"/>
        <v>0.79150803883572729</v>
      </c>
      <c r="AB22" s="8">
        <f t="shared" si="14"/>
        <v>19.814814814814813</v>
      </c>
      <c r="AC22" s="8">
        <f t="shared" si="15"/>
        <v>2.8752297632492816</v>
      </c>
    </row>
    <row r="23" spans="1:29" ht="15.75" customHeight="1">
      <c r="A23" s="49" t="s">
        <v>58</v>
      </c>
      <c r="B23" s="5">
        <v>44384</v>
      </c>
      <c r="C23" s="14" t="s">
        <v>23</v>
      </c>
      <c r="D23" s="6">
        <v>4</v>
      </c>
      <c r="E23" s="6">
        <v>1</v>
      </c>
      <c r="F23" s="6">
        <v>3</v>
      </c>
      <c r="G23" s="6">
        <v>2</v>
      </c>
      <c r="H23" s="6">
        <v>2</v>
      </c>
      <c r="I23" s="6">
        <v>2</v>
      </c>
      <c r="J23" s="7">
        <f t="shared" si="16"/>
        <v>14</v>
      </c>
      <c r="K23" s="7" t="str">
        <f>INDEX(Tabla2[Equipo],MATCH(Tabla1[[#This Row],[Nombre]],Tabla2[Nombre],0))</f>
        <v>EQUIPO 2</v>
      </c>
      <c r="L23" s="7" t="str">
        <f>INDEX(Tabla2[Deporte],MATCH(Tabla1[[#This Row],[Nombre]],Tabla2[Nombre],0))</f>
        <v>Futbol</v>
      </c>
      <c r="M23" s="7" t="str">
        <f>INDEX(Tabla2[Puesto],MATCH(Tabla1[[#This Row],[Nombre]],Tabla2[Nombre],0))</f>
        <v>Defensor</v>
      </c>
      <c r="N23" s="58">
        <f>IF(Tabla1[[#This Row],[Disponibilidad]]="Full",1,IF(Tabla1[[#This Row],[Disponibilidad]]="Parcial",2,IF(Tabla1[[#This Row],[Disponibilidad]]="Lesión",3,"")))</f>
        <v>1</v>
      </c>
      <c r="O23" s="8">
        <f t="shared" si="1"/>
        <v>3.1111111111111112</v>
      </c>
      <c r="P23" s="8">
        <f t="shared" si="2"/>
        <v>0.71813875430883989</v>
      </c>
      <c r="Q23" s="8">
        <f t="shared" si="3"/>
        <v>1.2377676090526328</v>
      </c>
      <c r="R23" s="8">
        <f t="shared" si="4"/>
        <v>3.5925925925925926</v>
      </c>
      <c r="S23" s="8">
        <f t="shared" si="5"/>
        <v>0.96188726673470404</v>
      </c>
      <c r="T23" s="8">
        <f t="shared" si="6"/>
        <v>3.2777777777777777</v>
      </c>
      <c r="U23" s="8">
        <f t="shared" si="7"/>
        <v>0.73758061066754266</v>
      </c>
      <c r="V23" s="8">
        <f t="shared" si="8"/>
        <v>3.425925925925926</v>
      </c>
      <c r="W23" s="8">
        <f t="shared" si="9"/>
        <v>0.86005379059183884</v>
      </c>
      <c r="X23" s="8">
        <f t="shared" si="10"/>
        <v>2.9814814814814814</v>
      </c>
      <c r="Y23" s="8">
        <f t="shared" si="11"/>
        <v>0.83532257334360727</v>
      </c>
      <c r="Z23" s="8">
        <f t="shared" si="12"/>
        <v>3.425925925925926</v>
      </c>
      <c r="AA23" s="8">
        <f t="shared" si="13"/>
        <v>0.79150803883572729</v>
      </c>
      <c r="AB23" s="8">
        <f t="shared" si="14"/>
        <v>19.814814814814813</v>
      </c>
      <c r="AC23" s="8">
        <f t="shared" si="15"/>
        <v>2.8752297632492816</v>
      </c>
    </row>
    <row r="24" spans="1:29" ht="15.75" customHeight="1">
      <c r="A24" s="49" t="s">
        <v>58</v>
      </c>
      <c r="B24" s="5">
        <v>44389</v>
      </c>
      <c r="C24" s="14" t="s">
        <v>23</v>
      </c>
      <c r="D24" s="6">
        <v>4</v>
      </c>
      <c r="E24" s="6">
        <v>4</v>
      </c>
      <c r="F24" s="6">
        <v>4</v>
      </c>
      <c r="G24" s="6">
        <v>4</v>
      </c>
      <c r="H24" s="6">
        <v>4</v>
      </c>
      <c r="I24" s="6">
        <v>4</v>
      </c>
      <c r="J24" s="7">
        <f t="shared" si="16"/>
        <v>24</v>
      </c>
      <c r="K24" s="7" t="str">
        <f>INDEX(Tabla2[Equipo],MATCH(Tabla1[[#This Row],[Nombre]],Tabla2[Nombre],0))</f>
        <v>EQUIPO 2</v>
      </c>
      <c r="L24" s="7" t="str">
        <f>INDEX(Tabla2[Deporte],MATCH(Tabla1[[#This Row],[Nombre]],Tabla2[Nombre],0))</f>
        <v>Futbol</v>
      </c>
      <c r="M24" s="7" t="str">
        <f>INDEX(Tabla2[Puesto],MATCH(Tabla1[[#This Row],[Nombre]],Tabla2[Nombre],0))</f>
        <v>Defensor</v>
      </c>
      <c r="N24" s="58">
        <f>IF(Tabla1[[#This Row],[Disponibilidad]]="Full",1,IF(Tabla1[[#This Row],[Disponibilidad]]="Parcial",2,IF(Tabla1[[#This Row],[Disponibilidad]]="Lesión",3,"")))</f>
        <v>1</v>
      </c>
      <c r="O24" s="8">
        <f t="shared" si="1"/>
        <v>3.1111111111111112</v>
      </c>
      <c r="P24" s="8">
        <f t="shared" si="2"/>
        <v>0.71813875430883989</v>
      </c>
      <c r="Q24" s="8">
        <f t="shared" si="3"/>
        <v>1.2377676090526328</v>
      </c>
      <c r="R24" s="8">
        <f t="shared" si="4"/>
        <v>3.5925925925925926</v>
      </c>
      <c r="S24" s="8">
        <f t="shared" si="5"/>
        <v>0.96188726673470404</v>
      </c>
      <c r="T24" s="8">
        <f t="shared" si="6"/>
        <v>3.2777777777777777</v>
      </c>
      <c r="U24" s="8">
        <f t="shared" si="7"/>
        <v>0.73758061066754266</v>
      </c>
      <c r="V24" s="8">
        <f t="shared" si="8"/>
        <v>3.425925925925926</v>
      </c>
      <c r="W24" s="8">
        <f t="shared" si="9"/>
        <v>0.86005379059183884</v>
      </c>
      <c r="X24" s="8">
        <f t="shared" si="10"/>
        <v>2.9814814814814814</v>
      </c>
      <c r="Y24" s="8">
        <f t="shared" si="11"/>
        <v>0.83532257334360727</v>
      </c>
      <c r="Z24" s="8">
        <f t="shared" si="12"/>
        <v>3.425925925925926</v>
      </c>
      <c r="AA24" s="8">
        <f t="shared" si="13"/>
        <v>0.79150803883572729</v>
      </c>
      <c r="AB24" s="8">
        <f t="shared" si="14"/>
        <v>19.814814814814813</v>
      </c>
      <c r="AC24" s="8">
        <f t="shared" si="15"/>
        <v>2.8752297632492816</v>
      </c>
    </row>
    <row r="25" spans="1:29" ht="15.75" customHeight="1">
      <c r="A25" s="49" t="s">
        <v>58</v>
      </c>
      <c r="B25" s="5">
        <v>44390</v>
      </c>
      <c r="C25" s="14" t="s">
        <v>23</v>
      </c>
      <c r="D25" s="6">
        <v>3</v>
      </c>
      <c r="E25" s="6">
        <v>3</v>
      </c>
      <c r="F25" s="6">
        <v>4</v>
      </c>
      <c r="G25" s="6">
        <v>3</v>
      </c>
      <c r="H25" s="6">
        <v>3</v>
      </c>
      <c r="I25" s="6">
        <v>3</v>
      </c>
      <c r="J25" s="7">
        <f t="shared" si="16"/>
        <v>19</v>
      </c>
      <c r="K25" s="7" t="str">
        <f>INDEX(Tabla2[Equipo],MATCH(Tabla1[[#This Row],[Nombre]],Tabla2[Nombre],0))</f>
        <v>EQUIPO 2</v>
      </c>
      <c r="L25" s="7" t="str">
        <f>INDEX(Tabla2[Deporte],MATCH(Tabla1[[#This Row],[Nombre]],Tabla2[Nombre],0))</f>
        <v>Futbol</v>
      </c>
      <c r="M25" s="7" t="str">
        <f>INDEX(Tabla2[Puesto],MATCH(Tabla1[[#This Row],[Nombre]],Tabla2[Nombre],0))</f>
        <v>Defensor</v>
      </c>
      <c r="N25" s="58">
        <f>IF(Tabla1[[#This Row],[Disponibilidad]]="Full",1,IF(Tabla1[[#This Row],[Disponibilidad]]="Parcial",2,IF(Tabla1[[#This Row],[Disponibilidad]]="Lesión",3,"")))</f>
        <v>1</v>
      </c>
      <c r="O25" s="8">
        <f t="shared" si="1"/>
        <v>3.1111111111111112</v>
      </c>
      <c r="P25" s="8">
        <f t="shared" si="2"/>
        <v>0.71813875430883989</v>
      </c>
      <c r="Q25" s="8">
        <f t="shared" si="3"/>
        <v>-0.15472095113157919</v>
      </c>
      <c r="R25" s="8">
        <f t="shared" si="4"/>
        <v>3.5925925925925926</v>
      </c>
      <c r="S25" s="8">
        <f t="shared" si="5"/>
        <v>0.96188726673470404</v>
      </c>
      <c r="T25" s="8">
        <f t="shared" si="6"/>
        <v>3.2777777777777777</v>
      </c>
      <c r="U25" s="8">
        <f t="shared" si="7"/>
        <v>0.73758061066754266</v>
      </c>
      <c r="V25" s="8">
        <f t="shared" si="8"/>
        <v>3.425925925925926</v>
      </c>
      <c r="W25" s="8">
        <f t="shared" si="9"/>
        <v>0.86005379059183884</v>
      </c>
      <c r="X25" s="8">
        <f t="shared" si="10"/>
        <v>2.9814814814814814</v>
      </c>
      <c r="Y25" s="8">
        <f t="shared" si="11"/>
        <v>0.83532257334360727</v>
      </c>
      <c r="Z25" s="8">
        <f t="shared" si="12"/>
        <v>3.425925925925926</v>
      </c>
      <c r="AA25" s="8">
        <f t="shared" si="13"/>
        <v>0.79150803883572729</v>
      </c>
      <c r="AB25" s="8">
        <f t="shared" si="14"/>
        <v>19.814814814814813</v>
      </c>
      <c r="AC25" s="8">
        <f t="shared" si="15"/>
        <v>2.8752297632492816</v>
      </c>
    </row>
    <row r="26" spans="1:29" ht="15.75" customHeight="1">
      <c r="A26" s="49" t="s">
        <v>58</v>
      </c>
      <c r="B26" s="5">
        <v>44391</v>
      </c>
      <c r="C26" s="14" t="s">
        <v>23</v>
      </c>
      <c r="D26" s="6">
        <v>3</v>
      </c>
      <c r="E26" s="6">
        <v>4</v>
      </c>
      <c r="F26" s="6">
        <v>3</v>
      </c>
      <c r="G26" s="6">
        <v>4</v>
      </c>
      <c r="H26" s="6">
        <v>3</v>
      </c>
      <c r="I26" s="6">
        <v>4</v>
      </c>
      <c r="J26" s="7">
        <f t="shared" si="16"/>
        <v>21</v>
      </c>
      <c r="K26" s="7" t="str">
        <f>INDEX(Tabla2[Equipo],MATCH(Tabla1[[#This Row],[Nombre]],Tabla2[Nombre],0))</f>
        <v>EQUIPO 2</v>
      </c>
      <c r="L26" s="7" t="str">
        <f>INDEX(Tabla2[Deporte],MATCH(Tabla1[[#This Row],[Nombre]],Tabla2[Nombre],0))</f>
        <v>Futbol</v>
      </c>
      <c r="M26" s="7" t="str">
        <f>INDEX(Tabla2[Puesto],MATCH(Tabla1[[#This Row],[Nombre]],Tabla2[Nombre],0))</f>
        <v>Defensor</v>
      </c>
      <c r="N26" s="58">
        <f>IF(Tabla1[[#This Row],[Disponibilidad]]="Full",1,IF(Tabla1[[#This Row],[Disponibilidad]]="Parcial",2,IF(Tabla1[[#This Row],[Disponibilidad]]="Lesión",3,"")))</f>
        <v>1</v>
      </c>
      <c r="O26" s="8">
        <f t="shared" si="1"/>
        <v>3.1111111111111112</v>
      </c>
      <c r="P26" s="8">
        <f t="shared" si="2"/>
        <v>0.71813875430883989</v>
      </c>
      <c r="Q26" s="8">
        <f t="shared" si="3"/>
        <v>-0.15472095113157919</v>
      </c>
      <c r="R26" s="8">
        <f t="shared" si="4"/>
        <v>3.5925925925925926</v>
      </c>
      <c r="S26" s="8">
        <f t="shared" si="5"/>
        <v>0.96188726673470404</v>
      </c>
      <c r="T26" s="8">
        <f t="shared" si="6"/>
        <v>3.2777777777777777</v>
      </c>
      <c r="U26" s="8">
        <f t="shared" si="7"/>
        <v>0.73758061066754266</v>
      </c>
      <c r="V26" s="8">
        <f t="shared" si="8"/>
        <v>3.425925925925926</v>
      </c>
      <c r="W26" s="8">
        <f t="shared" si="9"/>
        <v>0.86005379059183884</v>
      </c>
      <c r="X26" s="8">
        <f t="shared" si="10"/>
        <v>2.9814814814814814</v>
      </c>
      <c r="Y26" s="8">
        <f t="shared" si="11"/>
        <v>0.83532257334360727</v>
      </c>
      <c r="Z26" s="8">
        <f t="shared" si="12"/>
        <v>3.425925925925926</v>
      </c>
      <c r="AA26" s="8">
        <f t="shared" si="13"/>
        <v>0.79150803883572729</v>
      </c>
      <c r="AB26" s="8">
        <f t="shared" si="14"/>
        <v>19.814814814814813</v>
      </c>
      <c r="AC26" s="8">
        <f t="shared" si="15"/>
        <v>2.8752297632492816</v>
      </c>
    </row>
    <row r="27" spans="1:29" ht="15.75" customHeight="1">
      <c r="A27" s="49" t="s">
        <v>58</v>
      </c>
      <c r="B27" s="5">
        <v>44392</v>
      </c>
      <c r="C27" s="14" t="s">
        <v>24</v>
      </c>
      <c r="D27" s="6">
        <v>3</v>
      </c>
      <c r="E27" s="6">
        <v>3</v>
      </c>
      <c r="F27" s="6">
        <v>2</v>
      </c>
      <c r="G27" s="6">
        <v>3</v>
      </c>
      <c r="H27" s="6">
        <v>2</v>
      </c>
      <c r="I27" s="6">
        <v>3</v>
      </c>
      <c r="J27" s="7">
        <f t="shared" si="16"/>
        <v>16</v>
      </c>
      <c r="K27" s="7" t="str">
        <f>INDEX(Tabla2[Equipo],MATCH(Tabla1[[#This Row],[Nombre]],Tabla2[Nombre],0))</f>
        <v>EQUIPO 2</v>
      </c>
      <c r="L27" s="7" t="str">
        <f>INDEX(Tabla2[Deporte],MATCH(Tabla1[[#This Row],[Nombre]],Tabla2[Nombre],0))</f>
        <v>Futbol</v>
      </c>
      <c r="M27" s="7" t="str">
        <f>INDEX(Tabla2[Puesto],MATCH(Tabla1[[#This Row],[Nombre]],Tabla2[Nombre],0))</f>
        <v>Defensor</v>
      </c>
      <c r="N27" s="58">
        <f>IF(Tabla1[[#This Row],[Disponibilidad]]="Full",1,IF(Tabla1[[#This Row],[Disponibilidad]]="Parcial",2,IF(Tabla1[[#This Row],[Disponibilidad]]="Lesión",3,"")))</f>
        <v>2</v>
      </c>
      <c r="O27" s="8">
        <f t="shared" si="1"/>
        <v>3.1111111111111112</v>
      </c>
      <c r="P27" s="8">
        <f t="shared" si="2"/>
        <v>0.71813875430883989</v>
      </c>
      <c r="Q27" s="8">
        <f t="shared" si="3"/>
        <v>-0.15472095113157919</v>
      </c>
      <c r="R27" s="8">
        <f t="shared" si="4"/>
        <v>3.5925925925925926</v>
      </c>
      <c r="S27" s="8">
        <f t="shared" si="5"/>
        <v>0.96188726673470404</v>
      </c>
      <c r="T27" s="8">
        <f t="shared" si="6"/>
        <v>3.2777777777777777</v>
      </c>
      <c r="U27" s="8">
        <f t="shared" si="7"/>
        <v>0.73758061066754266</v>
      </c>
      <c r="V27" s="8">
        <f t="shared" si="8"/>
        <v>3.425925925925926</v>
      </c>
      <c r="W27" s="8">
        <f t="shared" si="9"/>
        <v>0.86005379059183884</v>
      </c>
      <c r="X27" s="8">
        <f t="shared" si="10"/>
        <v>2.9814814814814814</v>
      </c>
      <c r="Y27" s="8">
        <f t="shared" si="11"/>
        <v>0.83532257334360727</v>
      </c>
      <c r="Z27" s="8">
        <f t="shared" si="12"/>
        <v>3.425925925925926</v>
      </c>
      <c r="AA27" s="8">
        <f t="shared" si="13"/>
        <v>0.79150803883572729</v>
      </c>
      <c r="AB27" s="8">
        <f t="shared" si="14"/>
        <v>19.814814814814813</v>
      </c>
      <c r="AC27" s="8">
        <f t="shared" si="15"/>
        <v>2.8752297632492816</v>
      </c>
    </row>
    <row r="28" spans="1:29" ht="15.75" customHeight="1">
      <c r="A28" s="49" t="s">
        <v>58</v>
      </c>
      <c r="B28" s="5">
        <v>44393</v>
      </c>
      <c r="C28" s="14" t="s">
        <v>24</v>
      </c>
      <c r="D28" s="6">
        <v>4</v>
      </c>
      <c r="E28" s="6">
        <v>4</v>
      </c>
      <c r="F28" s="6">
        <v>2</v>
      </c>
      <c r="G28" s="6">
        <v>4</v>
      </c>
      <c r="H28" s="6">
        <v>4</v>
      </c>
      <c r="I28" s="6">
        <v>4</v>
      </c>
      <c r="J28" s="7">
        <f t="shared" si="16"/>
        <v>22</v>
      </c>
      <c r="K28" s="7" t="str">
        <f>INDEX(Tabla2[Equipo],MATCH(Tabla1[[#This Row],[Nombre]],Tabla2[Nombre],0))</f>
        <v>EQUIPO 2</v>
      </c>
      <c r="L28" s="7" t="str">
        <f>INDEX(Tabla2[Deporte],MATCH(Tabla1[[#This Row],[Nombre]],Tabla2[Nombre],0))</f>
        <v>Futbol</v>
      </c>
      <c r="M28" s="7" t="str">
        <f>INDEX(Tabla2[Puesto],MATCH(Tabla1[[#This Row],[Nombre]],Tabla2[Nombre],0))</f>
        <v>Defensor</v>
      </c>
      <c r="N28" s="58">
        <f>IF(Tabla1[[#This Row],[Disponibilidad]]="Full",1,IF(Tabla1[[#This Row],[Disponibilidad]]="Parcial",2,IF(Tabla1[[#This Row],[Disponibilidad]]="Lesión",3,"")))</f>
        <v>2</v>
      </c>
      <c r="O28" s="8">
        <f t="shared" si="1"/>
        <v>3.1111111111111112</v>
      </c>
      <c r="P28" s="8">
        <f t="shared" si="2"/>
        <v>0.71813875430883989</v>
      </c>
      <c r="Q28" s="8">
        <f t="shared" si="3"/>
        <v>1.2377676090526328</v>
      </c>
      <c r="R28" s="8">
        <f t="shared" si="4"/>
        <v>3.5925925925925926</v>
      </c>
      <c r="S28" s="8">
        <f t="shared" si="5"/>
        <v>0.96188726673470404</v>
      </c>
      <c r="T28" s="8">
        <f t="shared" si="6"/>
        <v>3.2777777777777777</v>
      </c>
      <c r="U28" s="8">
        <f t="shared" si="7"/>
        <v>0.73758061066754266</v>
      </c>
      <c r="V28" s="8">
        <f t="shared" si="8"/>
        <v>3.425925925925926</v>
      </c>
      <c r="W28" s="8">
        <f t="shared" si="9"/>
        <v>0.86005379059183884</v>
      </c>
      <c r="X28" s="8">
        <f t="shared" si="10"/>
        <v>2.9814814814814814</v>
      </c>
      <c r="Y28" s="8">
        <f t="shared" si="11"/>
        <v>0.83532257334360727</v>
      </c>
      <c r="Z28" s="8">
        <f t="shared" si="12"/>
        <v>3.425925925925926</v>
      </c>
      <c r="AA28" s="8">
        <f t="shared" si="13"/>
        <v>0.79150803883572729</v>
      </c>
      <c r="AB28" s="8">
        <f t="shared" si="14"/>
        <v>19.814814814814813</v>
      </c>
      <c r="AC28" s="8">
        <f t="shared" si="15"/>
        <v>2.8752297632492816</v>
      </c>
    </row>
    <row r="29" spans="1:29" ht="15.75" customHeight="1">
      <c r="A29" s="49" t="s">
        <v>58</v>
      </c>
      <c r="B29" s="5">
        <v>44396</v>
      </c>
      <c r="C29" s="14" t="s">
        <v>24</v>
      </c>
      <c r="D29" s="6">
        <v>3</v>
      </c>
      <c r="E29" s="6">
        <v>4</v>
      </c>
      <c r="F29" s="6">
        <v>4</v>
      </c>
      <c r="G29" s="6">
        <v>4</v>
      </c>
      <c r="H29" s="6">
        <v>4</v>
      </c>
      <c r="I29" s="6">
        <v>4</v>
      </c>
      <c r="J29" s="7">
        <f t="shared" si="16"/>
        <v>23</v>
      </c>
      <c r="K29" s="7" t="str">
        <f>INDEX(Tabla2[Equipo],MATCH(Tabla1[[#This Row],[Nombre]],Tabla2[Nombre],0))</f>
        <v>EQUIPO 2</v>
      </c>
      <c r="L29" s="7" t="str">
        <f>INDEX(Tabla2[Deporte],MATCH(Tabla1[[#This Row],[Nombre]],Tabla2[Nombre],0))</f>
        <v>Futbol</v>
      </c>
      <c r="M29" s="7" t="str">
        <f>INDEX(Tabla2[Puesto],MATCH(Tabla1[[#This Row],[Nombre]],Tabla2[Nombre],0))</f>
        <v>Defensor</v>
      </c>
      <c r="N29" s="58">
        <f>IF(Tabla1[[#This Row],[Disponibilidad]]="Full",1,IF(Tabla1[[#This Row],[Disponibilidad]]="Parcial",2,IF(Tabla1[[#This Row],[Disponibilidad]]="Lesión",3,"")))</f>
        <v>2</v>
      </c>
      <c r="O29" s="8">
        <f t="shared" si="1"/>
        <v>3.1111111111111112</v>
      </c>
      <c r="P29" s="8">
        <f t="shared" si="2"/>
        <v>0.71813875430883989</v>
      </c>
      <c r="Q29" s="8">
        <f t="shared" si="3"/>
        <v>-0.15472095113157919</v>
      </c>
      <c r="R29" s="8">
        <f t="shared" si="4"/>
        <v>3.5925925925925926</v>
      </c>
      <c r="S29" s="8">
        <f t="shared" si="5"/>
        <v>0.96188726673470404</v>
      </c>
      <c r="T29" s="8">
        <f t="shared" si="6"/>
        <v>3.2777777777777777</v>
      </c>
      <c r="U29" s="8">
        <f t="shared" si="7"/>
        <v>0.73758061066754266</v>
      </c>
      <c r="V29" s="8">
        <f t="shared" si="8"/>
        <v>3.425925925925926</v>
      </c>
      <c r="W29" s="8">
        <f t="shared" si="9"/>
        <v>0.86005379059183884</v>
      </c>
      <c r="X29" s="8">
        <f t="shared" si="10"/>
        <v>2.9814814814814814</v>
      </c>
      <c r="Y29" s="8">
        <f t="shared" si="11"/>
        <v>0.83532257334360727</v>
      </c>
      <c r="Z29" s="8">
        <f t="shared" si="12"/>
        <v>3.425925925925926</v>
      </c>
      <c r="AA29" s="8">
        <f t="shared" si="13"/>
        <v>0.79150803883572729</v>
      </c>
      <c r="AB29" s="8">
        <f t="shared" si="14"/>
        <v>19.814814814814813</v>
      </c>
      <c r="AC29" s="8">
        <f t="shared" si="15"/>
        <v>2.8752297632492816</v>
      </c>
    </row>
    <row r="30" spans="1:29" ht="15.75" customHeight="1">
      <c r="A30" s="49" t="s">
        <v>58</v>
      </c>
      <c r="B30" s="5">
        <v>44397</v>
      </c>
      <c r="C30" s="13" t="s">
        <v>65</v>
      </c>
      <c r="D30" s="6">
        <v>3</v>
      </c>
      <c r="E30" s="6">
        <v>4</v>
      </c>
      <c r="F30" s="6">
        <v>3</v>
      </c>
      <c r="G30" s="6">
        <v>4</v>
      </c>
      <c r="H30" s="6">
        <v>3</v>
      </c>
      <c r="I30" s="6">
        <v>4</v>
      </c>
      <c r="J30" s="7">
        <f t="shared" si="16"/>
        <v>21</v>
      </c>
      <c r="K30" s="7" t="str">
        <f>INDEX(Tabla2[Equipo],MATCH(Tabla1[[#This Row],[Nombre]],Tabla2[Nombre],0))</f>
        <v>EQUIPO 2</v>
      </c>
      <c r="L30" s="7" t="str">
        <f>INDEX(Tabla2[Deporte],MATCH(Tabla1[[#This Row],[Nombre]],Tabla2[Nombre],0))</f>
        <v>Futbol</v>
      </c>
      <c r="M30" s="7" t="str">
        <f>INDEX(Tabla2[Puesto],MATCH(Tabla1[[#This Row],[Nombre]],Tabla2[Nombre],0))</f>
        <v>Defensor</v>
      </c>
      <c r="N30" s="58">
        <f>IF(Tabla1[[#This Row],[Disponibilidad]]="Full",1,IF(Tabla1[[#This Row],[Disponibilidad]]="Parcial",2,IF(Tabla1[[#This Row],[Disponibilidad]]="Lesión",3,"")))</f>
        <v>3</v>
      </c>
      <c r="O30" s="8">
        <f t="shared" si="1"/>
        <v>3.1111111111111112</v>
      </c>
      <c r="P30" s="8">
        <f t="shared" si="2"/>
        <v>0.71813875430883989</v>
      </c>
      <c r="Q30" s="8">
        <f t="shared" si="3"/>
        <v>-0.15472095113157919</v>
      </c>
      <c r="R30" s="8">
        <f t="shared" si="4"/>
        <v>3.5925925925925926</v>
      </c>
      <c r="S30" s="8">
        <f t="shared" si="5"/>
        <v>0.96188726673470404</v>
      </c>
      <c r="T30" s="8">
        <f t="shared" si="6"/>
        <v>3.2777777777777777</v>
      </c>
      <c r="U30" s="8">
        <f t="shared" si="7"/>
        <v>0.73758061066754266</v>
      </c>
      <c r="V30" s="8">
        <f t="shared" si="8"/>
        <v>3.425925925925926</v>
      </c>
      <c r="W30" s="8">
        <f t="shared" si="9"/>
        <v>0.86005379059183884</v>
      </c>
      <c r="X30" s="8">
        <f t="shared" si="10"/>
        <v>2.9814814814814814</v>
      </c>
      <c r="Y30" s="8">
        <f t="shared" si="11"/>
        <v>0.83532257334360727</v>
      </c>
      <c r="Z30" s="8">
        <f t="shared" si="12"/>
        <v>3.425925925925926</v>
      </c>
      <c r="AA30" s="8">
        <f t="shared" si="13"/>
        <v>0.79150803883572729</v>
      </c>
      <c r="AB30" s="8">
        <f t="shared" si="14"/>
        <v>19.814814814814813</v>
      </c>
      <c r="AC30" s="8">
        <f t="shared" si="15"/>
        <v>2.8752297632492816</v>
      </c>
    </row>
    <row r="31" spans="1:29" ht="15.75" customHeight="1">
      <c r="A31" s="49" t="s">
        <v>58</v>
      </c>
      <c r="B31" s="5">
        <v>44398</v>
      </c>
      <c r="C31" s="13" t="s">
        <v>65</v>
      </c>
      <c r="D31" s="6">
        <v>3</v>
      </c>
      <c r="E31" s="6">
        <v>3</v>
      </c>
      <c r="F31" s="6">
        <v>4</v>
      </c>
      <c r="G31" s="6">
        <v>4</v>
      </c>
      <c r="H31" s="6">
        <v>4</v>
      </c>
      <c r="I31" s="6">
        <v>4</v>
      </c>
      <c r="J31" s="7">
        <f t="shared" si="16"/>
        <v>22</v>
      </c>
      <c r="K31" s="7" t="str">
        <f>INDEX(Tabla2[Equipo],MATCH(Tabla1[[#This Row],[Nombre]],Tabla2[Nombre],0))</f>
        <v>EQUIPO 2</v>
      </c>
      <c r="L31" s="7" t="str">
        <f>INDEX(Tabla2[Deporte],MATCH(Tabla1[[#This Row],[Nombre]],Tabla2[Nombre],0))</f>
        <v>Futbol</v>
      </c>
      <c r="M31" s="7" t="str">
        <f>INDEX(Tabla2[Puesto],MATCH(Tabla1[[#This Row],[Nombre]],Tabla2[Nombre],0))</f>
        <v>Defensor</v>
      </c>
      <c r="N31" s="58">
        <f>IF(Tabla1[[#This Row],[Disponibilidad]]="Full",1,IF(Tabla1[[#This Row],[Disponibilidad]]="Parcial",2,IF(Tabla1[[#This Row],[Disponibilidad]]="Lesión",3,"")))</f>
        <v>3</v>
      </c>
      <c r="O31" s="8">
        <f t="shared" si="1"/>
        <v>3.1111111111111112</v>
      </c>
      <c r="P31" s="8">
        <f t="shared" si="2"/>
        <v>0.71813875430883989</v>
      </c>
      <c r="Q31" s="8">
        <f t="shared" si="3"/>
        <v>-0.15472095113157919</v>
      </c>
      <c r="R31" s="8">
        <f t="shared" si="4"/>
        <v>3.5925925925925926</v>
      </c>
      <c r="S31" s="8">
        <f t="shared" si="5"/>
        <v>0.96188726673470404</v>
      </c>
      <c r="T31" s="8">
        <f t="shared" si="6"/>
        <v>3.2777777777777777</v>
      </c>
      <c r="U31" s="8">
        <f t="shared" si="7"/>
        <v>0.73758061066754266</v>
      </c>
      <c r="V31" s="8">
        <f t="shared" si="8"/>
        <v>3.425925925925926</v>
      </c>
      <c r="W31" s="8">
        <f t="shared" si="9"/>
        <v>0.86005379059183884</v>
      </c>
      <c r="X31" s="8">
        <f t="shared" si="10"/>
        <v>2.9814814814814814</v>
      </c>
      <c r="Y31" s="8">
        <f t="shared" si="11"/>
        <v>0.83532257334360727</v>
      </c>
      <c r="Z31" s="8">
        <f t="shared" si="12"/>
        <v>3.425925925925926</v>
      </c>
      <c r="AA31" s="8">
        <f t="shared" si="13"/>
        <v>0.79150803883572729</v>
      </c>
      <c r="AB31" s="8">
        <f t="shared" si="14"/>
        <v>19.814814814814813</v>
      </c>
      <c r="AC31" s="8">
        <f t="shared" si="15"/>
        <v>2.8752297632492816</v>
      </c>
    </row>
    <row r="32" spans="1:29" ht="15.75" customHeight="1">
      <c r="A32" s="49" t="s">
        <v>58</v>
      </c>
      <c r="B32" s="5">
        <v>44399</v>
      </c>
      <c r="C32" s="14" t="s">
        <v>24</v>
      </c>
      <c r="D32" s="6">
        <v>3</v>
      </c>
      <c r="E32" s="6">
        <v>3</v>
      </c>
      <c r="F32" s="6">
        <v>3</v>
      </c>
      <c r="G32" s="6">
        <v>3</v>
      </c>
      <c r="H32" s="6">
        <v>2</v>
      </c>
      <c r="I32" s="6">
        <v>3</v>
      </c>
      <c r="J32" s="7">
        <f t="shared" si="16"/>
        <v>17</v>
      </c>
      <c r="K32" s="7" t="str">
        <f>INDEX(Tabla2[Equipo],MATCH(Tabla1[[#This Row],[Nombre]],Tabla2[Nombre],0))</f>
        <v>EQUIPO 2</v>
      </c>
      <c r="L32" s="7" t="str">
        <f>INDEX(Tabla2[Deporte],MATCH(Tabla1[[#This Row],[Nombre]],Tabla2[Nombre],0))</f>
        <v>Futbol</v>
      </c>
      <c r="M32" s="7" t="str">
        <f>INDEX(Tabla2[Puesto],MATCH(Tabla1[[#This Row],[Nombre]],Tabla2[Nombre],0))</f>
        <v>Defensor</v>
      </c>
      <c r="N32" s="58">
        <f>IF(Tabla1[[#This Row],[Disponibilidad]]="Full",1,IF(Tabla1[[#This Row],[Disponibilidad]]="Parcial",2,IF(Tabla1[[#This Row],[Disponibilidad]]="Lesión",3,"")))</f>
        <v>2</v>
      </c>
      <c r="O32" s="8">
        <f t="shared" si="1"/>
        <v>3.1111111111111112</v>
      </c>
      <c r="P32" s="8">
        <f t="shared" si="2"/>
        <v>0.71813875430883989</v>
      </c>
      <c r="Q32" s="8">
        <f t="shared" si="3"/>
        <v>-0.15472095113157919</v>
      </c>
      <c r="R32" s="8">
        <f t="shared" si="4"/>
        <v>3.5925925925925926</v>
      </c>
      <c r="S32" s="8">
        <f t="shared" si="5"/>
        <v>0.96188726673470404</v>
      </c>
      <c r="T32" s="8">
        <f t="shared" si="6"/>
        <v>3.2777777777777777</v>
      </c>
      <c r="U32" s="8">
        <f t="shared" si="7"/>
        <v>0.73758061066754266</v>
      </c>
      <c r="V32" s="8">
        <f t="shared" si="8"/>
        <v>3.425925925925926</v>
      </c>
      <c r="W32" s="8">
        <f t="shared" si="9"/>
        <v>0.86005379059183884</v>
      </c>
      <c r="X32" s="8">
        <f t="shared" si="10"/>
        <v>2.9814814814814814</v>
      </c>
      <c r="Y32" s="8">
        <f t="shared" si="11"/>
        <v>0.83532257334360727</v>
      </c>
      <c r="Z32" s="8">
        <f t="shared" si="12"/>
        <v>3.425925925925926</v>
      </c>
      <c r="AA32" s="8">
        <f t="shared" si="13"/>
        <v>0.79150803883572729</v>
      </c>
      <c r="AB32" s="8">
        <f t="shared" si="14"/>
        <v>19.814814814814813</v>
      </c>
      <c r="AC32" s="8">
        <f t="shared" si="15"/>
        <v>2.8752297632492816</v>
      </c>
    </row>
    <row r="33" spans="1:29" ht="15.75" customHeight="1">
      <c r="A33" s="49" t="s">
        <v>58</v>
      </c>
      <c r="B33" s="5">
        <v>44400</v>
      </c>
      <c r="C33" s="14" t="s">
        <v>23</v>
      </c>
      <c r="D33" s="6">
        <v>3</v>
      </c>
      <c r="E33" s="6">
        <v>4</v>
      </c>
      <c r="F33" s="6">
        <v>4</v>
      </c>
      <c r="G33" s="6">
        <v>4</v>
      </c>
      <c r="H33" s="6">
        <v>2</v>
      </c>
      <c r="I33" s="6">
        <v>4</v>
      </c>
      <c r="J33" s="7">
        <f t="shared" si="16"/>
        <v>21</v>
      </c>
      <c r="K33" s="7" t="str">
        <f>INDEX(Tabla2[Equipo],MATCH(Tabla1[[#This Row],[Nombre]],Tabla2[Nombre],0))</f>
        <v>EQUIPO 2</v>
      </c>
      <c r="L33" s="7" t="str">
        <f>INDEX(Tabla2[Deporte],MATCH(Tabla1[[#This Row],[Nombre]],Tabla2[Nombre],0))</f>
        <v>Futbol</v>
      </c>
      <c r="M33" s="7" t="str">
        <f>INDEX(Tabla2[Puesto],MATCH(Tabla1[[#This Row],[Nombre]],Tabla2[Nombre],0))</f>
        <v>Defensor</v>
      </c>
      <c r="N33" s="58">
        <f>IF(Tabla1[[#This Row],[Disponibilidad]]="Full",1,IF(Tabla1[[#This Row],[Disponibilidad]]="Parcial",2,IF(Tabla1[[#This Row],[Disponibilidad]]="Lesión",3,"")))</f>
        <v>1</v>
      </c>
      <c r="O33" s="8">
        <f t="shared" si="1"/>
        <v>3.1111111111111112</v>
      </c>
      <c r="P33" s="8">
        <f t="shared" si="2"/>
        <v>0.71813875430883989</v>
      </c>
      <c r="Q33" s="8">
        <f t="shared" si="3"/>
        <v>-0.15472095113157919</v>
      </c>
      <c r="R33" s="8">
        <f t="shared" si="4"/>
        <v>3.5925925925925926</v>
      </c>
      <c r="S33" s="8">
        <f t="shared" si="5"/>
        <v>0.96188726673470404</v>
      </c>
      <c r="T33" s="8">
        <f t="shared" si="6"/>
        <v>3.2777777777777777</v>
      </c>
      <c r="U33" s="8">
        <f t="shared" si="7"/>
        <v>0.73758061066754266</v>
      </c>
      <c r="V33" s="8">
        <f t="shared" si="8"/>
        <v>3.425925925925926</v>
      </c>
      <c r="W33" s="8">
        <f t="shared" si="9"/>
        <v>0.86005379059183884</v>
      </c>
      <c r="X33" s="8">
        <f t="shared" si="10"/>
        <v>2.9814814814814814</v>
      </c>
      <c r="Y33" s="8">
        <f t="shared" si="11"/>
        <v>0.83532257334360727</v>
      </c>
      <c r="Z33" s="8">
        <f t="shared" si="12"/>
        <v>3.425925925925926</v>
      </c>
      <c r="AA33" s="8">
        <f t="shared" si="13"/>
        <v>0.79150803883572729</v>
      </c>
      <c r="AB33" s="8">
        <f t="shared" si="14"/>
        <v>19.814814814814813</v>
      </c>
      <c r="AC33" s="8">
        <f t="shared" si="15"/>
        <v>2.8752297632492816</v>
      </c>
    </row>
    <row r="34" spans="1:29" ht="15.75" customHeight="1">
      <c r="A34" s="49" t="s">
        <v>58</v>
      </c>
      <c r="B34" s="5">
        <v>44401</v>
      </c>
      <c r="C34" s="14" t="s">
        <v>23</v>
      </c>
      <c r="D34" s="6">
        <v>4</v>
      </c>
      <c r="E34" s="6">
        <v>4</v>
      </c>
      <c r="F34" s="6">
        <v>4</v>
      </c>
      <c r="G34" s="6">
        <v>4</v>
      </c>
      <c r="H34" s="6">
        <v>4</v>
      </c>
      <c r="I34" s="6">
        <v>4</v>
      </c>
      <c r="J34" s="7">
        <f t="shared" si="16"/>
        <v>24</v>
      </c>
      <c r="K34" s="7" t="str">
        <f>INDEX(Tabla2[Equipo],MATCH(Tabla1[[#This Row],[Nombre]],Tabla2[Nombre],0))</f>
        <v>EQUIPO 2</v>
      </c>
      <c r="L34" s="7" t="str">
        <f>INDEX(Tabla2[Deporte],MATCH(Tabla1[[#This Row],[Nombre]],Tabla2[Nombre],0))</f>
        <v>Futbol</v>
      </c>
      <c r="M34" s="7" t="str">
        <f>INDEX(Tabla2[Puesto],MATCH(Tabla1[[#This Row],[Nombre]],Tabla2[Nombre],0))</f>
        <v>Defensor</v>
      </c>
      <c r="N34" s="58">
        <f>IF(Tabla1[[#This Row],[Disponibilidad]]="Full",1,IF(Tabla1[[#This Row],[Disponibilidad]]="Parcial",2,IF(Tabla1[[#This Row],[Disponibilidad]]="Lesión",3,"")))</f>
        <v>1</v>
      </c>
      <c r="O34" s="8">
        <f t="shared" ref="O34:O55" si="17">AVERAGE(D:D)</f>
        <v>3.1111111111111112</v>
      </c>
      <c r="P34" s="8">
        <f t="shared" ref="P34:P55" si="18">STDEV(D:D)</f>
        <v>0.71813875430883989</v>
      </c>
      <c r="Q34" s="8">
        <f t="shared" si="3"/>
        <v>1.2377676090526328</v>
      </c>
      <c r="R34" s="8">
        <f t="shared" si="4"/>
        <v>3.5925925925925926</v>
      </c>
      <c r="S34" s="8">
        <f t="shared" si="5"/>
        <v>0.96188726673470404</v>
      </c>
      <c r="T34" s="8">
        <f t="shared" si="6"/>
        <v>3.2777777777777777</v>
      </c>
      <c r="U34" s="8">
        <f t="shared" si="7"/>
        <v>0.73758061066754266</v>
      </c>
      <c r="V34" s="8">
        <f t="shared" si="8"/>
        <v>3.425925925925926</v>
      </c>
      <c r="W34" s="8">
        <f t="shared" si="9"/>
        <v>0.86005379059183884</v>
      </c>
      <c r="X34" s="8">
        <f t="shared" si="10"/>
        <v>2.9814814814814814</v>
      </c>
      <c r="Y34" s="8">
        <f t="shared" si="11"/>
        <v>0.83532257334360727</v>
      </c>
      <c r="Z34" s="8">
        <f t="shared" si="12"/>
        <v>3.425925925925926</v>
      </c>
      <c r="AA34" s="8">
        <f t="shared" si="13"/>
        <v>0.79150803883572729</v>
      </c>
      <c r="AB34" s="8">
        <f t="shared" si="14"/>
        <v>19.814814814814813</v>
      </c>
      <c r="AC34" s="8">
        <f t="shared" si="15"/>
        <v>2.8752297632492816</v>
      </c>
    </row>
    <row r="35" spans="1:29" ht="15.75" customHeight="1">
      <c r="A35" s="49" t="s">
        <v>58</v>
      </c>
      <c r="B35" s="5">
        <v>44403</v>
      </c>
      <c r="C35" s="14" t="s">
        <v>23</v>
      </c>
      <c r="D35" s="6">
        <v>3</v>
      </c>
      <c r="E35" s="6">
        <v>4</v>
      </c>
      <c r="F35" s="6">
        <v>3</v>
      </c>
      <c r="G35" s="6">
        <v>4</v>
      </c>
      <c r="H35" s="6">
        <v>4</v>
      </c>
      <c r="I35" s="6">
        <v>4</v>
      </c>
      <c r="J35" s="7">
        <f t="shared" si="16"/>
        <v>22</v>
      </c>
      <c r="K35" s="7" t="str">
        <f>INDEX(Tabla2[Equipo],MATCH(Tabla1[[#This Row],[Nombre]],Tabla2[Nombre],0))</f>
        <v>EQUIPO 2</v>
      </c>
      <c r="L35" s="7" t="str">
        <f>INDEX(Tabla2[Deporte],MATCH(Tabla1[[#This Row],[Nombre]],Tabla2[Nombre],0))</f>
        <v>Futbol</v>
      </c>
      <c r="M35" s="7" t="str">
        <f>INDEX(Tabla2[Puesto],MATCH(Tabla1[[#This Row],[Nombre]],Tabla2[Nombre],0))</f>
        <v>Defensor</v>
      </c>
      <c r="N35" s="58">
        <f>IF(Tabla1[[#This Row],[Disponibilidad]]="Full",1,IF(Tabla1[[#This Row],[Disponibilidad]]="Parcial",2,IF(Tabla1[[#This Row],[Disponibilidad]]="Lesión",3,"")))</f>
        <v>1</v>
      </c>
      <c r="O35" s="8">
        <f t="shared" si="17"/>
        <v>3.1111111111111112</v>
      </c>
      <c r="P35" s="8">
        <f t="shared" si="18"/>
        <v>0.71813875430883989</v>
      </c>
      <c r="Q35" s="8">
        <f t="shared" si="3"/>
        <v>-0.15472095113157919</v>
      </c>
      <c r="R35" s="8">
        <f t="shared" ref="R35:R55" si="19">AVERAGE(E:E)</f>
        <v>3.5925925925925926</v>
      </c>
      <c r="S35" s="8">
        <f t="shared" ref="S35:S55" si="20">STDEV(E:E)</f>
        <v>0.96188726673470404</v>
      </c>
      <c r="T35" s="8">
        <f t="shared" ref="T35:T55" si="21">AVERAGE(F:F)</f>
        <v>3.2777777777777777</v>
      </c>
      <c r="U35" s="8">
        <f t="shared" ref="U35:U55" si="22">STDEV(F:F)</f>
        <v>0.73758061066754266</v>
      </c>
      <c r="V35" s="8">
        <f t="shared" ref="V35:V55" si="23">AVERAGE(G:G)</f>
        <v>3.425925925925926</v>
      </c>
      <c r="W35" s="8">
        <f t="shared" ref="W35:W55" si="24">STDEV(G:G)</f>
        <v>0.86005379059183884</v>
      </c>
      <c r="X35" s="8">
        <f t="shared" ref="X35:X55" si="25">AVERAGE(H:H)</f>
        <v>2.9814814814814814</v>
      </c>
      <c r="Y35" s="8">
        <f t="shared" ref="Y35:Y55" si="26">STDEV(H:H)</f>
        <v>0.83532257334360727</v>
      </c>
      <c r="Z35" s="8">
        <f t="shared" ref="Z35:Z55" si="27">AVERAGE(I:I)</f>
        <v>3.425925925925926</v>
      </c>
      <c r="AA35" s="8">
        <f t="shared" ref="AA35:AA55" si="28">STDEV(I:I)</f>
        <v>0.79150803883572729</v>
      </c>
      <c r="AB35" s="8">
        <f t="shared" ref="AB35:AB55" si="29">AVERAGE(J:J)</f>
        <v>19.814814814814813</v>
      </c>
      <c r="AC35" s="8">
        <f t="shared" ref="AC35:AC55" si="30">STDEV(J:J)</f>
        <v>2.8752297632492816</v>
      </c>
    </row>
    <row r="36" spans="1:29" ht="15.75" customHeight="1">
      <c r="A36" s="49" t="s">
        <v>58</v>
      </c>
      <c r="B36" s="5">
        <v>44405</v>
      </c>
      <c r="C36" s="14" t="s">
        <v>23</v>
      </c>
      <c r="D36" s="9">
        <v>3</v>
      </c>
      <c r="E36" s="9">
        <v>4</v>
      </c>
      <c r="F36" s="9">
        <v>3</v>
      </c>
      <c r="G36" s="9">
        <v>4</v>
      </c>
      <c r="H36" s="9">
        <v>3</v>
      </c>
      <c r="I36" s="9">
        <v>4</v>
      </c>
      <c r="J36" s="7">
        <f t="shared" si="16"/>
        <v>21</v>
      </c>
      <c r="K36" s="7" t="str">
        <f>INDEX(Tabla2[Equipo],MATCH(Tabla1[[#This Row],[Nombre]],Tabla2[Nombre],0))</f>
        <v>EQUIPO 2</v>
      </c>
      <c r="L36" s="7" t="str">
        <f>INDEX(Tabla2[Deporte],MATCH(Tabla1[[#This Row],[Nombre]],Tabla2[Nombre],0))</f>
        <v>Futbol</v>
      </c>
      <c r="M36" s="7" t="str">
        <f>INDEX(Tabla2[Puesto],MATCH(Tabla1[[#This Row],[Nombre]],Tabla2[Nombre],0))</f>
        <v>Defensor</v>
      </c>
      <c r="N36" s="58">
        <f>IF(Tabla1[[#This Row],[Disponibilidad]]="Full",1,IF(Tabla1[[#This Row],[Disponibilidad]]="Parcial",2,IF(Tabla1[[#This Row],[Disponibilidad]]="Lesión",3,"")))</f>
        <v>1</v>
      </c>
      <c r="O36" s="8">
        <f t="shared" si="17"/>
        <v>3.1111111111111112</v>
      </c>
      <c r="P36" s="8">
        <f t="shared" si="18"/>
        <v>0.71813875430883989</v>
      </c>
      <c r="Q36" s="8">
        <f t="shared" si="3"/>
        <v>-0.15472095113157919</v>
      </c>
      <c r="R36" s="8">
        <f t="shared" si="19"/>
        <v>3.5925925925925926</v>
      </c>
      <c r="S36" s="8">
        <f t="shared" si="20"/>
        <v>0.96188726673470404</v>
      </c>
      <c r="T36" s="8">
        <f t="shared" si="21"/>
        <v>3.2777777777777777</v>
      </c>
      <c r="U36" s="8">
        <f t="shared" si="22"/>
        <v>0.73758061066754266</v>
      </c>
      <c r="V36" s="8">
        <f t="shared" si="23"/>
        <v>3.425925925925926</v>
      </c>
      <c r="W36" s="8">
        <f t="shared" si="24"/>
        <v>0.86005379059183884</v>
      </c>
      <c r="X36" s="8">
        <f t="shared" si="25"/>
        <v>2.9814814814814814</v>
      </c>
      <c r="Y36" s="8">
        <f t="shared" si="26"/>
        <v>0.83532257334360727</v>
      </c>
      <c r="Z36" s="8">
        <f t="shared" si="27"/>
        <v>3.425925925925926</v>
      </c>
      <c r="AA36" s="8">
        <f t="shared" si="28"/>
        <v>0.79150803883572729</v>
      </c>
      <c r="AB36" s="8">
        <f t="shared" si="29"/>
        <v>19.814814814814813</v>
      </c>
      <c r="AC36" s="8">
        <f t="shared" si="30"/>
        <v>2.8752297632492816</v>
      </c>
    </row>
    <row r="37" spans="1:29" ht="15.75" customHeight="1">
      <c r="A37" s="49" t="s">
        <v>58</v>
      </c>
      <c r="B37" s="5">
        <v>44406</v>
      </c>
      <c r="C37" s="14" t="s">
        <v>23</v>
      </c>
      <c r="D37" s="9">
        <v>3</v>
      </c>
      <c r="E37" s="9">
        <v>3</v>
      </c>
      <c r="F37" s="9">
        <v>4</v>
      </c>
      <c r="G37" s="9">
        <v>2</v>
      </c>
      <c r="H37" s="9">
        <v>2</v>
      </c>
      <c r="I37" s="9">
        <v>3</v>
      </c>
      <c r="J37" s="7">
        <f t="shared" si="16"/>
        <v>17</v>
      </c>
      <c r="K37" s="7" t="str">
        <f>INDEX(Tabla2[Equipo],MATCH(Tabla1[[#This Row],[Nombre]],Tabla2[Nombre],0))</f>
        <v>EQUIPO 2</v>
      </c>
      <c r="L37" s="7" t="str">
        <f>INDEX(Tabla2[Deporte],MATCH(Tabla1[[#This Row],[Nombre]],Tabla2[Nombre],0))</f>
        <v>Futbol</v>
      </c>
      <c r="M37" s="7" t="str">
        <f>INDEX(Tabla2[Puesto],MATCH(Tabla1[[#This Row],[Nombre]],Tabla2[Nombre],0))</f>
        <v>Defensor</v>
      </c>
      <c r="N37" s="58">
        <f>IF(Tabla1[[#This Row],[Disponibilidad]]="Full",1,IF(Tabla1[[#This Row],[Disponibilidad]]="Parcial",2,IF(Tabla1[[#This Row],[Disponibilidad]]="Lesión",3,"")))</f>
        <v>1</v>
      </c>
      <c r="O37" s="8">
        <f t="shared" si="17"/>
        <v>3.1111111111111112</v>
      </c>
      <c r="P37" s="8">
        <f t="shared" si="18"/>
        <v>0.71813875430883989</v>
      </c>
      <c r="Q37" s="8">
        <f t="shared" si="3"/>
        <v>-0.15472095113157919</v>
      </c>
      <c r="R37" s="8">
        <f t="shared" si="19"/>
        <v>3.5925925925925926</v>
      </c>
      <c r="S37" s="8">
        <f t="shared" si="20"/>
        <v>0.96188726673470404</v>
      </c>
      <c r="T37" s="8">
        <f t="shared" si="21"/>
        <v>3.2777777777777777</v>
      </c>
      <c r="U37" s="8">
        <f t="shared" si="22"/>
        <v>0.73758061066754266</v>
      </c>
      <c r="V37" s="8">
        <f t="shared" si="23"/>
        <v>3.425925925925926</v>
      </c>
      <c r="W37" s="8">
        <f t="shared" si="24"/>
        <v>0.86005379059183884</v>
      </c>
      <c r="X37" s="8">
        <f t="shared" si="25"/>
        <v>2.9814814814814814</v>
      </c>
      <c r="Y37" s="8">
        <f t="shared" si="26"/>
        <v>0.83532257334360727</v>
      </c>
      <c r="Z37" s="8">
        <f t="shared" si="27"/>
        <v>3.425925925925926</v>
      </c>
      <c r="AA37" s="8">
        <f t="shared" si="28"/>
        <v>0.79150803883572729</v>
      </c>
      <c r="AB37" s="8">
        <f t="shared" si="29"/>
        <v>19.814814814814813</v>
      </c>
      <c r="AC37" s="8">
        <f t="shared" si="30"/>
        <v>2.8752297632492816</v>
      </c>
    </row>
    <row r="38" spans="1:29" ht="15.75" customHeight="1">
      <c r="A38" s="49" t="s">
        <v>59</v>
      </c>
      <c r="B38" s="5">
        <v>44378</v>
      </c>
      <c r="C38" s="14" t="s">
        <v>24</v>
      </c>
      <c r="D38" s="9">
        <v>3</v>
      </c>
      <c r="E38" s="9">
        <v>4</v>
      </c>
      <c r="F38" s="9">
        <v>3</v>
      </c>
      <c r="G38" s="9">
        <v>5</v>
      </c>
      <c r="H38" s="9">
        <v>2</v>
      </c>
      <c r="I38" s="9">
        <v>1</v>
      </c>
      <c r="J38" s="7">
        <f t="shared" si="16"/>
        <v>18</v>
      </c>
      <c r="K38" s="7" t="str">
        <f>INDEX(Tabla2[Equipo],MATCH(Tabla1[[#This Row],[Nombre]],Tabla2[Nombre],0))</f>
        <v>EQUIPO 1</v>
      </c>
      <c r="L38" s="10" t="str">
        <f>INDEX(Tabla2[Deporte],MATCH(Tabla1[[#This Row],[Nombre]],Tabla2[Nombre],0))</f>
        <v>Futbol</v>
      </c>
      <c r="M38" s="10" t="str">
        <f>INDEX(Tabla2[Puesto],MATCH(Tabla1[[#This Row],[Nombre]],Tabla2[Nombre],0))</f>
        <v>Delantero</v>
      </c>
      <c r="N38" s="59">
        <f>IF(Tabla1[[#This Row],[Disponibilidad]]="Full",1,IF(Tabla1[[#This Row],[Disponibilidad]]="Parcial",2,IF(Tabla1[[#This Row],[Disponibilidad]]="Lesión",3,"")))</f>
        <v>2</v>
      </c>
      <c r="O38" s="8">
        <f t="shared" si="17"/>
        <v>3.1111111111111112</v>
      </c>
      <c r="P38" s="8">
        <f t="shared" si="18"/>
        <v>0.71813875430883989</v>
      </c>
      <c r="Q38" s="8">
        <f t="shared" si="3"/>
        <v>-0.15472095113157919</v>
      </c>
      <c r="R38" s="8">
        <f t="shared" si="19"/>
        <v>3.5925925925925926</v>
      </c>
      <c r="S38" s="8">
        <f t="shared" si="20"/>
        <v>0.96188726673470404</v>
      </c>
      <c r="T38" s="8">
        <f t="shared" si="21"/>
        <v>3.2777777777777777</v>
      </c>
      <c r="U38" s="8">
        <f t="shared" si="22"/>
        <v>0.73758061066754266</v>
      </c>
      <c r="V38" s="8">
        <f t="shared" si="23"/>
        <v>3.425925925925926</v>
      </c>
      <c r="W38" s="8">
        <f t="shared" si="24"/>
        <v>0.86005379059183884</v>
      </c>
      <c r="X38" s="8">
        <f t="shared" si="25"/>
        <v>2.9814814814814814</v>
      </c>
      <c r="Y38" s="8">
        <f t="shared" si="26"/>
        <v>0.83532257334360727</v>
      </c>
      <c r="Z38" s="8">
        <f t="shared" si="27"/>
        <v>3.425925925925926</v>
      </c>
      <c r="AA38" s="8">
        <f t="shared" si="28"/>
        <v>0.79150803883572729</v>
      </c>
      <c r="AB38" s="8">
        <f t="shared" si="29"/>
        <v>19.814814814814813</v>
      </c>
      <c r="AC38" s="8">
        <f t="shared" si="30"/>
        <v>2.8752297632492816</v>
      </c>
    </row>
    <row r="39" spans="1:29" ht="15.75" customHeight="1">
      <c r="A39" s="49" t="s">
        <v>59</v>
      </c>
      <c r="B39" s="5">
        <v>44382</v>
      </c>
      <c r="C39" s="13" t="s">
        <v>65</v>
      </c>
      <c r="D39" s="9">
        <v>1</v>
      </c>
      <c r="E39" s="9">
        <v>2</v>
      </c>
      <c r="F39" s="9">
        <v>4</v>
      </c>
      <c r="G39" s="9">
        <v>3</v>
      </c>
      <c r="H39" s="9">
        <v>3</v>
      </c>
      <c r="I39" s="9">
        <v>3</v>
      </c>
      <c r="J39" s="7">
        <f t="shared" si="16"/>
        <v>16</v>
      </c>
      <c r="K39" s="7" t="str">
        <f>INDEX(Tabla2[Equipo],MATCH(Tabla1[[#This Row],[Nombre]],Tabla2[Nombre],0))</f>
        <v>EQUIPO 1</v>
      </c>
      <c r="L39" s="10" t="str">
        <f>INDEX(Tabla2[Deporte],MATCH(Tabla1[[#This Row],[Nombre]],Tabla2[Nombre],0))</f>
        <v>Futbol</v>
      </c>
      <c r="M39" s="10" t="str">
        <f>INDEX(Tabla2[Puesto],MATCH(Tabla1[[#This Row],[Nombre]],Tabla2[Nombre],0))</f>
        <v>Delantero</v>
      </c>
      <c r="N39" s="59">
        <f>IF(Tabla1[[#This Row],[Disponibilidad]]="Full",1,IF(Tabla1[[#This Row],[Disponibilidad]]="Parcial",2,IF(Tabla1[[#This Row],[Disponibilidad]]="Lesión",3,"")))</f>
        <v>3</v>
      </c>
      <c r="O39" s="8">
        <f t="shared" si="17"/>
        <v>3.1111111111111112</v>
      </c>
      <c r="P39" s="8">
        <f t="shared" si="18"/>
        <v>0.71813875430883989</v>
      </c>
      <c r="Q39" s="8">
        <f t="shared" si="3"/>
        <v>-2.9396980715000032</v>
      </c>
      <c r="R39" s="8">
        <f t="shared" si="19"/>
        <v>3.5925925925925926</v>
      </c>
      <c r="S39" s="8">
        <f t="shared" si="20"/>
        <v>0.96188726673470404</v>
      </c>
      <c r="T39" s="8">
        <f t="shared" si="21"/>
        <v>3.2777777777777777</v>
      </c>
      <c r="U39" s="8">
        <f t="shared" si="22"/>
        <v>0.73758061066754266</v>
      </c>
      <c r="V39" s="8">
        <f t="shared" si="23"/>
        <v>3.425925925925926</v>
      </c>
      <c r="W39" s="8">
        <f t="shared" si="24"/>
        <v>0.86005379059183884</v>
      </c>
      <c r="X39" s="8">
        <f t="shared" si="25"/>
        <v>2.9814814814814814</v>
      </c>
      <c r="Y39" s="8">
        <f t="shared" si="26"/>
        <v>0.83532257334360727</v>
      </c>
      <c r="Z39" s="8">
        <f t="shared" si="27"/>
        <v>3.425925925925926</v>
      </c>
      <c r="AA39" s="8">
        <f t="shared" si="28"/>
        <v>0.79150803883572729</v>
      </c>
      <c r="AB39" s="8">
        <f t="shared" si="29"/>
        <v>19.814814814814813</v>
      </c>
      <c r="AC39" s="8">
        <f t="shared" si="30"/>
        <v>2.8752297632492816</v>
      </c>
    </row>
    <row r="40" spans="1:29" ht="15.75" customHeight="1">
      <c r="A40" s="49" t="s">
        <v>59</v>
      </c>
      <c r="B40" s="5">
        <v>44383</v>
      </c>
      <c r="C40" s="14" t="s">
        <v>24</v>
      </c>
      <c r="D40" s="9">
        <v>3</v>
      </c>
      <c r="E40" s="9">
        <v>4</v>
      </c>
      <c r="F40" s="9">
        <v>5</v>
      </c>
      <c r="G40" s="9">
        <v>1</v>
      </c>
      <c r="H40" s="9">
        <v>3</v>
      </c>
      <c r="I40" s="9">
        <v>3</v>
      </c>
      <c r="J40" s="7">
        <f t="shared" si="16"/>
        <v>19</v>
      </c>
      <c r="K40" s="7" t="str">
        <f>INDEX(Tabla2[Equipo],MATCH(Tabla1[[#This Row],[Nombre]],Tabla2[Nombre],0))</f>
        <v>EQUIPO 1</v>
      </c>
      <c r="L40" s="10" t="str">
        <f>INDEX(Tabla2[Deporte],MATCH(Tabla1[[#This Row],[Nombre]],Tabla2[Nombre],0))</f>
        <v>Futbol</v>
      </c>
      <c r="M40" s="10" t="str">
        <f>INDEX(Tabla2[Puesto],MATCH(Tabla1[[#This Row],[Nombre]],Tabla2[Nombre],0))</f>
        <v>Delantero</v>
      </c>
      <c r="N40" s="59">
        <f>IF(Tabla1[[#This Row],[Disponibilidad]]="Full",1,IF(Tabla1[[#This Row],[Disponibilidad]]="Parcial",2,IF(Tabla1[[#This Row],[Disponibilidad]]="Lesión",3,"")))</f>
        <v>2</v>
      </c>
      <c r="O40" s="8">
        <f t="shared" si="17"/>
        <v>3.1111111111111112</v>
      </c>
      <c r="P40" s="8">
        <f t="shared" si="18"/>
        <v>0.71813875430883989</v>
      </c>
      <c r="Q40" s="8">
        <f t="shared" si="3"/>
        <v>-0.15472095113157919</v>
      </c>
      <c r="R40" s="8">
        <f t="shared" si="19"/>
        <v>3.5925925925925926</v>
      </c>
      <c r="S40" s="8">
        <f t="shared" si="20"/>
        <v>0.96188726673470404</v>
      </c>
      <c r="T40" s="8">
        <f t="shared" si="21"/>
        <v>3.2777777777777777</v>
      </c>
      <c r="U40" s="8">
        <f t="shared" si="22"/>
        <v>0.73758061066754266</v>
      </c>
      <c r="V40" s="8">
        <f t="shared" si="23"/>
        <v>3.425925925925926</v>
      </c>
      <c r="W40" s="8">
        <f t="shared" si="24"/>
        <v>0.86005379059183884</v>
      </c>
      <c r="X40" s="8">
        <f t="shared" si="25"/>
        <v>2.9814814814814814</v>
      </c>
      <c r="Y40" s="8">
        <f t="shared" si="26"/>
        <v>0.83532257334360727</v>
      </c>
      <c r="Z40" s="8">
        <f t="shared" si="27"/>
        <v>3.425925925925926</v>
      </c>
      <c r="AA40" s="8">
        <f t="shared" si="28"/>
        <v>0.79150803883572729</v>
      </c>
      <c r="AB40" s="8">
        <f t="shared" si="29"/>
        <v>19.814814814814813</v>
      </c>
      <c r="AC40" s="8">
        <f t="shared" si="30"/>
        <v>2.8752297632492816</v>
      </c>
    </row>
    <row r="41" spans="1:29" ht="15.75" customHeight="1">
      <c r="A41" s="49" t="s">
        <v>59</v>
      </c>
      <c r="B41" s="5">
        <v>44384</v>
      </c>
      <c r="C41" s="14" t="s">
        <v>24</v>
      </c>
      <c r="D41" s="9">
        <v>5</v>
      </c>
      <c r="E41" s="9">
        <v>3</v>
      </c>
      <c r="F41" s="9">
        <v>5</v>
      </c>
      <c r="G41" s="9">
        <v>4</v>
      </c>
      <c r="H41" s="9">
        <v>2</v>
      </c>
      <c r="I41" s="9">
        <v>4</v>
      </c>
      <c r="J41" s="7">
        <f t="shared" si="16"/>
        <v>23</v>
      </c>
      <c r="K41" s="7" t="str">
        <f>INDEX(Tabla2[Equipo],MATCH(Tabla1[[#This Row],[Nombre]],Tabla2[Nombre],0))</f>
        <v>EQUIPO 1</v>
      </c>
      <c r="L41" s="10" t="str">
        <f>INDEX(Tabla2[Deporte],MATCH(Tabla1[[#This Row],[Nombre]],Tabla2[Nombre],0))</f>
        <v>Futbol</v>
      </c>
      <c r="M41" s="10" t="str">
        <f>INDEX(Tabla2[Puesto],MATCH(Tabla1[[#This Row],[Nombre]],Tabla2[Nombre],0))</f>
        <v>Delantero</v>
      </c>
      <c r="N41" s="59">
        <f>IF(Tabla1[[#This Row],[Disponibilidad]]="Full",1,IF(Tabla1[[#This Row],[Disponibilidad]]="Parcial",2,IF(Tabla1[[#This Row],[Disponibilidad]]="Lesión",3,"")))</f>
        <v>2</v>
      </c>
      <c r="O41" s="8">
        <f t="shared" si="17"/>
        <v>3.1111111111111112</v>
      </c>
      <c r="P41" s="8">
        <f t="shared" si="18"/>
        <v>0.71813875430883989</v>
      </c>
      <c r="Q41" s="8">
        <f t="shared" si="3"/>
        <v>2.6302561692368447</v>
      </c>
      <c r="R41" s="8">
        <f t="shared" si="19"/>
        <v>3.5925925925925926</v>
      </c>
      <c r="S41" s="8">
        <f t="shared" si="20"/>
        <v>0.96188726673470404</v>
      </c>
      <c r="T41" s="8">
        <f t="shared" si="21"/>
        <v>3.2777777777777777</v>
      </c>
      <c r="U41" s="8">
        <f t="shared" si="22"/>
        <v>0.73758061066754266</v>
      </c>
      <c r="V41" s="8">
        <f t="shared" si="23"/>
        <v>3.425925925925926</v>
      </c>
      <c r="W41" s="8">
        <f t="shared" si="24"/>
        <v>0.86005379059183884</v>
      </c>
      <c r="X41" s="8">
        <f t="shared" si="25"/>
        <v>2.9814814814814814</v>
      </c>
      <c r="Y41" s="8">
        <f t="shared" si="26"/>
        <v>0.83532257334360727</v>
      </c>
      <c r="Z41" s="8">
        <f t="shared" si="27"/>
        <v>3.425925925925926</v>
      </c>
      <c r="AA41" s="8">
        <f t="shared" si="28"/>
        <v>0.79150803883572729</v>
      </c>
      <c r="AB41" s="8">
        <f t="shared" si="29"/>
        <v>19.814814814814813</v>
      </c>
      <c r="AC41" s="8">
        <f t="shared" si="30"/>
        <v>2.8752297632492816</v>
      </c>
    </row>
    <row r="42" spans="1:29" ht="15.75" customHeight="1">
      <c r="A42" s="49" t="s">
        <v>59</v>
      </c>
      <c r="B42" s="5">
        <v>44389</v>
      </c>
      <c r="C42" s="14" t="s">
        <v>23</v>
      </c>
      <c r="D42" s="9">
        <v>4</v>
      </c>
      <c r="E42" s="9">
        <v>4</v>
      </c>
      <c r="F42" s="9">
        <v>3</v>
      </c>
      <c r="G42" s="9">
        <v>3</v>
      </c>
      <c r="H42" s="9">
        <v>2</v>
      </c>
      <c r="I42" s="9">
        <v>3</v>
      </c>
      <c r="J42" s="7">
        <f t="shared" si="16"/>
        <v>19</v>
      </c>
      <c r="K42" s="7" t="str">
        <f>INDEX(Tabla2[Equipo],MATCH(Tabla1[[#This Row],[Nombre]],Tabla2[Nombre],0))</f>
        <v>EQUIPO 1</v>
      </c>
      <c r="L42" s="10" t="str">
        <f>INDEX(Tabla2[Deporte],MATCH(Tabla1[[#This Row],[Nombre]],Tabla2[Nombre],0))</f>
        <v>Futbol</v>
      </c>
      <c r="M42" s="10" t="str">
        <f>INDEX(Tabla2[Puesto],MATCH(Tabla1[[#This Row],[Nombre]],Tabla2[Nombre],0))</f>
        <v>Delantero</v>
      </c>
      <c r="N42" s="59">
        <f>IF(Tabla1[[#This Row],[Disponibilidad]]="Full",1,IF(Tabla1[[#This Row],[Disponibilidad]]="Parcial",2,IF(Tabla1[[#This Row],[Disponibilidad]]="Lesión",3,"")))</f>
        <v>1</v>
      </c>
      <c r="O42" s="8">
        <f t="shared" si="17"/>
        <v>3.1111111111111112</v>
      </c>
      <c r="P42" s="8">
        <f t="shared" si="18"/>
        <v>0.71813875430883989</v>
      </c>
      <c r="Q42" s="8">
        <f t="shared" si="3"/>
        <v>1.2377676090526328</v>
      </c>
      <c r="R42" s="8">
        <f t="shared" si="19"/>
        <v>3.5925925925925926</v>
      </c>
      <c r="S42" s="8">
        <f t="shared" si="20"/>
        <v>0.96188726673470404</v>
      </c>
      <c r="T42" s="8">
        <f t="shared" si="21"/>
        <v>3.2777777777777777</v>
      </c>
      <c r="U42" s="8">
        <f t="shared" si="22"/>
        <v>0.73758061066754266</v>
      </c>
      <c r="V42" s="8">
        <f t="shared" si="23"/>
        <v>3.425925925925926</v>
      </c>
      <c r="W42" s="8">
        <f t="shared" si="24"/>
        <v>0.86005379059183884</v>
      </c>
      <c r="X42" s="8">
        <f t="shared" si="25"/>
        <v>2.9814814814814814</v>
      </c>
      <c r="Y42" s="8">
        <f t="shared" si="26"/>
        <v>0.83532257334360727</v>
      </c>
      <c r="Z42" s="8">
        <f t="shared" si="27"/>
        <v>3.425925925925926</v>
      </c>
      <c r="AA42" s="8">
        <f t="shared" si="28"/>
        <v>0.79150803883572729</v>
      </c>
      <c r="AB42" s="8">
        <f t="shared" si="29"/>
        <v>19.814814814814813</v>
      </c>
      <c r="AC42" s="8">
        <f t="shared" si="30"/>
        <v>2.8752297632492816</v>
      </c>
    </row>
    <row r="43" spans="1:29" ht="15.75" customHeight="1">
      <c r="A43" s="49" t="s">
        <v>59</v>
      </c>
      <c r="B43" s="5">
        <v>44390</v>
      </c>
      <c r="C43" s="14" t="s">
        <v>23</v>
      </c>
      <c r="D43" s="9">
        <v>2</v>
      </c>
      <c r="E43" s="9">
        <v>5</v>
      </c>
      <c r="F43" s="9">
        <v>3</v>
      </c>
      <c r="G43" s="9">
        <v>4</v>
      </c>
      <c r="H43" s="9">
        <v>3</v>
      </c>
      <c r="I43" s="9">
        <v>2</v>
      </c>
      <c r="J43" s="7">
        <f t="shared" si="16"/>
        <v>19</v>
      </c>
      <c r="K43" s="7" t="str">
        <f>INDEX(Tabla2[Equipo],MATCH(Tabla1[[#This Row],[Nombre]],Tabla2[Nombre],0))</f>
        <v>EQUIPO 1</v>
      </c>
      <c r="L43" s="10" t="str">
        <f>INDEX(Tabla2[Deporte],MATCH(Tabla1[[#This Row],[Nombre]],Tabla2[Nombre],0))</f>
        <v>Futbol</v>
      </c>
      <c r="M43" s="10" t="str">
        <f>INDEX(Tabla2[Puesto],MATCH(Tabla1[[#This Row],[Nombre]],Tabla2[Nombre],0))</f>
        <v>Delantero</v>
      </c>
      <c r="N43" s="59">
        <f>IF(Tabla1[[#This Row],[Disponibilidad]]="Full",1,IF(Tabla1[[#This Row],[Disponibilidad]]="Parcial",2,IF(Tabla1[[#This Row],[Disponibilidad]]="Lesión",3,"")))</f>
        <v>1</v>
      </c>
      <c r="O43" s="8">
        <f t="shared" si="17"/>
        <v>3.1111111111111112</v>
      </c>
      <c r="P43" s="8">
        <f t="shared" si="18"/>
        <v>0.71813875430883989</v>
      </c>
      <c r="Q43" s="8">
        <f t="shared" si="3"/>
        <v>-1.5472095113157911</v>
      </c>
      <c r="R43" s="8">
        <f t="shared" si="19"/>
        <v>3.5925925925925926</v>
      </c>
      <c r="S43" s="8">
        <f t="shared" si="20"/>
        <v>0.96188726673470404</v>
      </c>
      <c r="T43" s="8">
        <f t="shared" si="21"/>
        <v>3.2777777777777777</v>
      </c>
      <c r="U43" s="8">
        <f t="shared" si="22"/>
        <v>0.73758061066754266</v>
      </c>
      <c r="V43" s="8">
        <f t="shared" si="23"/>
        <v>3.425925925925926</v>
      </c>
      <c r="W43" s="8">
        <f t="shared" si="24"/>
        <v>0.86005379059183884</v>
      </c>
      <c r="X43" s="8">
        <f t="shared" si="25"/>
        <v>2.9814814814814814</v>
      </c>
      <c r="Y43" s="8">
        <f t="shared" si="26"/>
        <v>0.83532257334360727</v>
      </c>
      <c r="Z43" s="8">
        <f t="shared" si="27"/>
        <v>3.425925925925926</v>
      </c>
      <c r="AA43" s="8">
        <f t="shared" si="28"/>
        <v>0.79150803883572729</v>
      </c>
      <c r="AB43" s="8">
        <f t="shared" si="29"/>
        <v>19.814814814814813</v>
      </c>
      <c r="AC43" s="8">
        <f t="shared" si="30"/>
        <v>2.8752297632492816</v>
      </c>
    </row>
    <row r="44" spans="1:29" ht="15.75" customHeight="1">
      <c r="A44" s="49" t="s">
        <v>59</v>
      </c>
      <c r="B44" s="5">
        <v>44391</v>
      </c>
      <c r="C44" s="14" t="s">
        <v>23</v>
      </c>
      <c r="D44" s="9">
        <v>2</v>
      </c>
      <c r="E44" s="9">
        <v>5</v>
      </c>
      <c r="F44" s="9">
        <v>3</v>
      </c>
      <c r="G44" s="9">
        <v>3</v>
      </c>
      <c r="H44" s="9">
        <v>4</v>
      </c>
      <c r="I44" s="9">
        <v>3</v>
      </c>
      <c r="J44" s="7">
        <f t="shared" si="16"/>
        <v>20</v>
      </c>
      <c r="K44" s="7" t="str">
        <f>INDEX(Tabla2[Equipo],MATCH(Tabla1[[#This Row],[Nombre]],Tabla2[Nombre],0))</f>
        <v>EQUIPO 1</v>
      </c>
      <c r="L44" s="10" t="str">
        <f>INDEX(Tabla2[Deporte],MATCH(Tabla1[[#This Row],[Nombre]],Tabla2[Nombre],0))</f>
        <v>Futbol</v>
      </c>
      <c r="M44" s="10" t="str">
        <f>INDEX(Tabla2[Puesto],MATCH(Tabla1[[#This Row],[Nombre]],Tabla2[Nombre],0))</f>
        <v>Delantero</v>
      </c>
      <c r="N44" s="59">
        <f>IF(Tabla1[[#This Row],[Disponibilidad]]="Full",1,IF(Tabla1[[#This Row],[Disponibilidad]]="Parcial",2,IF(Tabla1[[#This Row],[Disponibilidad]]="Lesión",3,"")))</f>
        <v>1</v>
      </c>
      <c r="O44" s="8">
        <f t="shared" si="17"/>
        <v>3.1111111111111112</v>
      </c>
      <c r="P44" s="8">
        <f t="shared" si="18"/>
        <v>0.71813875430883989</v>
      </c>
      <c r="Q44" s="8">
        <f t="shared" si="3"/>
        <v>-1.5472095113157911</v>
      </c>
      <c r="R44" s="8">
        <f t="shared" si="19"/>
        <v>3.5925925925925926</v>
      </c>
      <c r="S44" s="8">
        <f t="shared" si="20"/>
        <v>0.96188726673470404</v>
      </c>
      <c r="T44" s="8">
        <f t="shared" si="21"/>
        <v>3.2777777777777777</v>
      </c>
      <c r="U44" s="8">
        <f t="shared" si="22"/>
        <v>0.73758061066754266</v>
      </c>
      <c r="V44" s="8">
        <f t="shared" si="23"/>
        <v>3.425925925925926</v>
      </c>
      <c r="W44" s="8">
        <f t="shared" si="24"/>
        <v>0.86005379059183884</v>
      </c>
      <c r="X44" s="8">
        <f t="shared" si="25"/>
        <v>2.9814814814814814</v>
      </c>
      <c r="Y44" s="8">
        <f t="shared" si="26"/>
        <v>0.83532257334360727</v>
      </c>
      <c r="Z44" s="8">
        <f t="shared" si="27"/>
        <v>3.425925925925926</v>
      </c>
      <c r="AA44" s="8">
        <f t="shared" si="28"/>
        <v>0.79150803883572729</v>
      </c>
      <c r="AB44" s="8">
        <f t="shared" si="29"/>
        <v>19.814814814814813</v>
      </c>
      <c r="AC44" s="8">
        <f t="shared" si="30"/>
        <v>2.8752297632492816</v>
      </c>
    </row>
    <row r="45" spans="1:29" ht="15.75" customHeight="1">
      <c r="A45" s="49" t="s">
        <v>59</v>
      </c>
      <c r="B45" s="5">
        <v>44392</v>
      </c>
      <c r="C45" s="14" t="s">
        <v>23</v>
      </c>
      <c r="D45" s="9">
        <v>3</v>
      </c>
      <c r="E45" s="9">
        <v>5</v>
      </c>
      <c r="F45" s="9">
        <v>3</v>
      </c>
      <c r="G45" s="9">
        <v>3</v>
      </c>
      <c r="H45" s="9">
        <v>4</v>
      </c>
      <c r="I45" s="9">
        <v>3</v>
      </c>
      <c r="J45" s="7">
        <f t="shared" si="16"/>
        <v>21</v>
      </c>
      <c r="K45" s="7" t="str">
        <f>INDEX(Tabla2[Equipo],MATCH(Tabla1[[#This Row],[Nombre]],Tabla2[Nombre],0))</f>
        <v>EQUIPO 1</v>
      </c>
      <c r="L45" s="10" t="str">
        <f>INDEX(Tabla2[Deporte],MATCH(Tabla1[[#This Row],[Nombre]],Tabla2[Nombre],0))</f>
        <v>Futbol</v>
      </c>
      <c r="M45" s="10" t="str">
        <f>INDEX(Tabla2[Puesto],MATCH(Tabla1[[#This Row],[Nombre]],Tabla2[Nombre],0))</f>
        <v>Delantero</v>
      </c>
      <c r="N45" s="59">
        <f>IF(Tabla1[[#This Row],[Disponibilidad]]="Full",1,IF(Tabla1[[#This Row],[Disponibilidad]]="Parcial",2,IF(Tabla1[[#This Row],[Disponibilidad]]="Lesión",3,"")))</f>
        <v>1</v>
      </c>
      <c r="O45" s="8">
        <f t="shared" si="17"/>
        <v>3.1111111111111112</v>
      </c>
      <c r="P45" s="8">
        <f t="shared" si="18"/>
        <v>0.71813875430883989</v>
      </c>
      <c r="Q45" s="8">
        <f t="shared" si="3"/>
        <v>-0.15472095113157919</v>
      </c>
      <c r="R45" s="8">
        <f t="shared" si="19"/>
        <v>3.5925925925925926</v>
      </c>
      <c r="S45" s="8">
        <f t="shared" si="20"/>
        <v>0.96188726673470404</v>
      </c>
      <c r="T45" s="8">
        <f t="shared" si="21"/>
        <v>3.2777777777777777</v>
      </c>
      <c r="U45" s="8">
        <f t="shared" si="22"/>
        <v>0.73758061066754266</v>
      </c>
      <c r="V45" s="8">
        <f t="shared" si="23"/>
        <v>3.425925925925926</v>
      </c>
      <c r="W45" s="8">
        <f t="shared" si="24"/>
        <v>0.86005379059183884</v>
      </c>
      <c r="X45" s="8">
        <f t="shared" si="25"/>
        <v>2.9814814814814814</v>
      </c>
      <c r="Y45" s="8">
        <f t="shared" si="26"/>
        <v>0.83532257334360727</v>
      </c>
      <c r="Z45" s="8">
        <f t="shared" si="27"/>
        <v>3.425925925925926</v>
      </c>
      <c r="AA45" s="8">
        <f t="shared" si="28"/>
        <v>0.79150803883572729</v>
      </c>
      <c r="AB45" s="8">
        <f t="shared" si="29"/>
        <v>19.814814814814813</v>
      </c>
      <c r="AC45" s="8">
        <f t="shared" si="30"/>
        <v>2.8752297632492816</v>
      </c>
    </row>
    <row r="46" spans="1:29" ht="15.75" customHeight="1">
      <c r="A46" s="49" t="s">
        <v>59</v>
      </c>
      <c r="B46" s="5">
        <v>44393</v>
      </c>
      <c r="C46" s="14" t="s">
        <v>23</v>
      </c>
      <c r="D46" s="9">
        <v>3</v>
      </c>
      <c r="E46" s="9">
        <v>5</v>
      </c>
      <c r="F46" s="9">
        <v>3</v>
      </c>
      <c r="G46" s="9">
        <v>5</v>
      </c>
      <c r="H46" s="9">
        <v>2</v>
      </c>
      <c r="I46" s="9">
        <v>5</v>
      </c>
      <c r="J46" s="7">
        <f t="shared" si="16"/>
        <v>23</v>
      </c>
      <c r="K46" s="7" t="str">
        <f>INDEX(Tabla2[Equipo],MATCH(Tabla1[[#This Row],[Nombre]],Tabla2[Nombre],0))</f>
        <v>EQUIPO 1</v>
      </c>
      <c r="L46" s="10" t="str">
        <f>INDEX(Tabla2[Deporte],MATCH(Tabla1[[#This Row],[Nombre]],Tabla2[Nombre],0))</f>
        <v>Futbol</v>
      </c>
      <c r="M46" s="10" t="str">
        <f>INDEX(Tabla2[Puesto],MATCH(Tabla1[[#This Row],[Nombre]],Tabla2[Nombre],0))</f>
        <v>Delantero</v>
      </c>
      <c r="N46" s="59">
        <f>IF(Tabla1[[#This Row],[Disponibilidad]]="Full",1,IF(Tabla1[[#This Row],[Disponibilidad]]="Parcial",2,IF(Tabla1[[#This Row],[Disponibilidad]]="Lesión",3,"")))</f>
        <v>1</v>
      </c>
      <c r="O46" s="8">
        <f t="shared" si="17"/>
        <v>3.1111111111111112</v>
      </c>
      <c r="P46" s="8">
        <f t="shared" si="18"/>
        <v>0.71813875430883989</v>
      </c>
      <c r="Q46" s="8">
        <f t="shared" si="3"/>
        <v>-0.15472095113157919</v>
      </c>
      <c r="R46" s="8">
        <f t="shared" si="19"/>
        <v>3.5925925925925926</v>
      </c>
      <c r="S46" s="8">
        <f t="shared" si="20"/>
        <v>0.96188726673470404</v>
      </c>
      <c r="T46" s="8">
        <f t="shared" si="21"/>
        <v>3.2777777777777777</v>
      </c>
      <c r="U46" s="8">
        <f t="shared" si="22"/>
        <v>0.73758061066754266</v>
      </c>
      <c r="V46" s="8">
        <f t="shared" si="23"/>
        <v>3.425925925925926</v>
      </c>
      <c r="W46" s="8">
        <f t="shared" si="24"/>
        <v>0.86005379059183884</v>
      </c>
      <c r="X46" s="8">
        <f t="shared" si="25"/>
        <v>2.9814814814814814</v>
      </c>
      <c r="Y46" s="8">
        <f t="shared" si="26"/>
        <v>0.83532257334360727</v>
      </c>
      <c r="Z46" s="8">
        <f t="shared" si="27"/>
        <v>3.425925925925926</v>
      </c>
      <c r="AA46" s="8">
        <f t="shared" si="28"/>
        <v>0.79150803883572729</v>
      </c>
      <c r="AB46" s="8">
        <f t="shared" si="29"/>
        <v>19.814814814814813</v>
      </c>
      <c r="AC46" s="8">
        <f t="shared" si="30"/>
        <v>2.8752297632492816</v>
      </c>
    </row>
    <row r="47" spans="1:29" ht="15.75" customHeight="1">
      <c r="A47" s="49" t="s">
        <v>59</v>
      </c>
      <c r="B47" s="5">
        <v>44396</v>
      </c>
      <c r="C47" s="14" t="s">
        <v>23</v>
      </c>
      <c r="D47" s="9">
        <v>3</v>
      </c>
      <c r="E47" s="9">
        <v>3</v>
      </c>
      <c r="F47" s="9">
        <v>4</v>
      </c>
      <c r="G47" s="9">
        <v>2</v>
      </c>
      <c r="H47" s="9">
        <v>2</v>
      </c>
      <c r="I47" s="9">
        <v>4</v>
      </c>
      <c r="J47" s="7">
        <f t="shared" si="16"/>
        <v>18</v>
      </c>
      <c r="K47" s="7" t="str">
        <f>INDEX(Tabla2[Equipo],MATCH(Tabla1[[#This Row],[Nombre]],Tabla2[Nombre],0))</f>
        <v>EQUIPO 1</v>
      </c>
      <c r="L47" s="10" t="str">
        <f>INDEX(Tabla2[Deporte],MATCH(Tabla1[[#This Row],[Nombre]],Tabla2[Nombre],0))</f>
        <v>Futbol</v>
      </c>
      <c r="M47" s="10" t="str">
        <f>INDEX(Tabla2[Puesto],MATCH(Tabla1[[#This Row],[Nombre]],Tabla2[Nombre],0))</f>
        <v>Delantero</v>
      </c>
      <c r="N47" s="59">
        <f>IF(Tabla1[[#This Row],[Disponibilidad]]="Full",1,IF(Tabla1[[#This Row],[Disponibilidad]]="Parcial",2,IF(Tabla1[[#This Row],[Disponibilidad]]="Lesión",3,"")))</f>
        <v>1</v>
      </c>
      <c r="O47" s="8">
        <f t="shared" si="17"/>
        <v>3.1111111111111112</v>
      </c>
      <c r="P47" s="8">
        <f t="shared" si="18"/>
        <v>0.71813875430883989</v>
      </c>
      <c r="Q47" s="8">
        <f t="shared" si="3"/>
        <v>-0.15472095113157919</v>
      </c>
      <c r="R47" s="8">
        <f t="shared" si="19"/>
        <v>3.5925925925925926</v>
      </c>
      <c r="S47" s="8">
        <f t="shared" si="20"/>
        <v>0.96188726673470404</v>
      </c>
      <c r="T47" s="8">
        <f t="shared" si="21"/>
        <v>3.2777777777777777</v>
      </c>
      <c r="U47" s="8">
        <f t="shared" si="22"/>
        <v>0.73758061066754266</v>
      </c>
      <c r="V47" s="8">
        <f t="shared" si="23"/>
        <v>3.425925925925926</v>
      </c>
      <c r="W47" s="8">
        <f t="shared" si="24"/>
        <v>0.86005379059183884</v>
      </c>
      <c r="X47" s="8">
        <f t="shared" si="25"/>
        <v>2.9814814814814814</v>
      </c>
      <c r="Y47" s="8">
        <f t="shared" si="26"/>
        <v>0.83532257334360727</v>
      </c>
      <c r="Z47" s="8">
        <f t="shared" si="27"/>
        <v>3.425925925925926</v>
      </c>
      <c r="AA47" s="8">
        <f t="shared" si="28"/>
        <v>0.79150803883572729</v>
      </c>
      <c r="AB47" s="8">
        <f t="shared" si="29"/>
        <v>19.814814814814813</v>
      </c>
      <c r="AC47" s="8">
        <f t="shared" si="30"/>
        <v>2.8752297632492816</v>
      </c>
    </row>
    <row r="48" spans="1:29" ht="15.75" customHeight="1">
      <c r="A48" s="49" t="s">
        <v>59</v>
      </c>
      <c r="B48" s="5">
        <v>44397</v>
      </c>
      <c r="C48" s="14" t="s">
        <v>23</v>
      </c>
      <c r="D48" s="9">
        <v>3</v>
      </c>
      <c r="E48" s="9">
        <v>3</v>
      </c>
      <c r="F48" s="9">
        <v>3</v>
      </c>
      <c r="G48" s="9">
        <v>4</v>
      </c>
      <c r="H48" s="9">
        <v>2</v>
      </c>
      <c r="I48" s="9">
        <v>2</v>
      </c>
      <c r="J48" s="7">
        <f t="shared" si="16"/>
        <v>17</v>
      </c>
      <c r="K48" s="7" t="str">
        <f>INDEX(Tabla2[Equipo],MATCH(Tabla1[[#This Row],[Nombre]],Tabla2[Nombre],0))</f>
        <v>EQUIPO 1</v>
      </c>
      <c r="L48" s="10" t="str">
        <f>INDEX(Tabla2[Deporte],MATCH(Tabla1[[#This Row],[Nombre]],Tabla2[Nombre],0))</f>
        <v>Futbol</v>
      </c>
      <c r="M48" s="10" t="str">
        <f>INDEX(Tabla2[Puesto],MATCH(Tabla1[[#This Row],[Nombre]],Tabla2[Nombre],0))</f>
        <v>Delantero</v>
      </c>
      <c r="N48" s="59">
        <f>IF(Tabla1[[#This Row],[Disponibilidad]]="Full",1,IF(Tabla1[[#This Row],[Disponibilidad]]="Parcial",2,IF(Tabla1[[#This Row],[Disponibilidad]]="Lesión",3,"")))</f>
        <v>1</v>
      </c>
      <c r="O48" s="8">
        <f t="shared" si="17"/>
        <v>3.1111111111111112</v>
      </c>
      <c r="P48" s="8">
        <f t="shared" si="18"/>
        <v>0.71813875430883989</v>
      </c>
      <c r="Q48" s="8">
        <f t="shared" si="3"/>
        <v>-0.15472095113157919</v>
      </c>
      <c r="R48" s="8">
        <f t="shared" si="19"/>
        <v>3.5925925925925926</v>
      </c>
      <c r="S48" s="8">
        <f t="shared" si="20"/>
        <v>0.96188726673470404</v>
      </c>
      <c r="T48" s="8">
        <f t="shared" si="21"/>
        <v>3.2777777777777777</v>
      </c>
      <c r="U48" s="8">
        <f t="shared" si="22"/>
        <v>0.73758061066754266</v>
      </c>
      <c r="V48" s="8">
        <f t="shared" si="23"/>
        <v>3.425925925925926</v>
      </c>
      <c r="W48" s="8">
        <f t="shared" si="24"/>
        <v>0.86005379059183884</v>
      </c>
      <c r="X48" s="8">
        <f t="shared" si="25"/>
        <v>2.9814814814814814</v>
      </c>
      <c r="Y48" s="8">
        <f t="shared" si="26"/>
        <v>0.83532257334360727</v>
      </c>
      <c r="Z48" s="8">
        <f t="shared" si="27"/>
        <v>3.425925925925926</v>
      </c>
      <c r="AA48" s="8">
        <f t="shared" si="28"/>
        <v>0.79150803883572729</v>
      </c>
      <c r="AB48" s="8">
        <f t="shared" si="29"/>
        <v>19.814814814814813</v>
      </c>
      <c r="AC48" s="8">
        <f t="shared" si="30"/>
        <v>2.8752297632492816</v>
      </c>
    </row>
    <row r="49" spans="1:29" ht="15.75" customHeight="1">
      <c r="A49" s="49" t="s">
        <v>59</v>
      </c>
      <c r="B49" s="5">
        <v>44398</v>
      </c>
      <c r="C49" s="14" t="s">
        <v>23</v>
      </c>
      <c r="D49" s="9">
        <v>3</v>
      </c>
      <c r="E49" s="9">
        <v>3</v>
      </c>
      <c r="F49" s="9">
        <v>3</v>
      </c>
      <c r="G49" s="9">
        <v>4</v>
      </c>
      <c r="H49" s="9">
        <v>3</v>
      </c>
      <c r="I49" s="9">
        <v>2</v>
      </c>
      <c r="J49" s="7">
        <f t="shared" si="16"/>
        <v>18</v>
      </c>
      <c r="K49" s="7" t="str">
        <f>INDEX(Tabla2[Equipo],MATCH(Tabla1[[#This Row],[Nombre]],Tabla2[Nombre],0))</f>
        <v>EQUIPO 1</v>
      </c>
      <c r="L49" s="10" t="str">
        <f>INDEX(Tabla2[Deporte],MATCH(Tabla1[[#This Row],[Nombre]],Tabla2[Nombre],0))</f>
        <v>Futbol</v>
      </c>
      <c r="M49" s="10" t="str">
        <f>INDEX(Tabla2[Puesto],MATCH(Tabla1[[#This Row],[Nombre]],Tabla2[Nombre],0))</f>
        <v>Delantero</v>
      </c>
      <c r="N49" s="59">
        <f>IF(Tabla1[[#This Row],[Disponibilidad]]="Full",1,IF(Tabla1[[#This Row],[Disponibilidad]]="Parcial",2,IF(Tabla1[[#This Row],[Disponibilidad]]="Lesión",3,"")))</f>
        <v>1</v>
      </c>
      <c r="O49" s="8">
        <f t="shared" si="17"/>
        <v>3.1111111111111112</v>
      </c>
      <c r="P49" s="8">
        <f t="shared" si="18"/>
        <v>0.71813875430883989</v>
      </c>
      <c r="Q49" s="8">
        <f t="shared" si="3"/>
        <v>-0.15472095113157919</v>
      </c>
      <c r="R49" s="8">
        <f t="shared" si="19"/>
        <v>3.5925925925925926</v>
      </c>
      <c r="S49" s="8">
        <f t="shared" si="20"/>
        <v>0.96188726673470404</v>
      </c>
      <c r="T49" s="8">
        <f t="shared" si="21"/>
        <v>3.2777777777777777</v>
      </c>
      <c r="U49" s="8">
        <f t="shared" si="22"/>
        <v>0.73758061066754266</v>
      </c>
      <c r="V49" s="8">
        <f t="shared" si="23"/>
        <v>3.425925925925926</v>
      </c>
      <c r="W49" s="8">
        <f t="shared" si="24"/>
        <v>0.86005379059183884</v>
      </c>
      <c r="X49" s="8">
        <f t="shared" si="25"/>
        <v>2.9814814814814814</v>
      </c>
      <c r="Y49" s="8">
        <f t="shared" si="26"/>
        <v>0.83532257334360727</v>
      </c>
      <c r="Z49" s="8">
        <f t="shared" si="27"/>
        <v>3.425925925925926</v>
      </c>
      <c r="AA49" s="8">
        <f t="shared" si="28"/>
        <v>0.79150803883572729</v>
      </c>
      <c r="AB49" s="8">
        <f t="shared" si="29"/>
        <v>19.814814814814813</v>
      </c>
      <c r="AC49" s="8">
        <f t="shared" si="30"/>
        <v>2.8752297632492816</v>
      </c>
    </row>
    <row r="50" spans="1:29" ht="15.75" customHeight="1">
      <c r="A50" s="49" t="s">
        <v>59</v>
      </c>
      <c r="B50" s="5">
        <v>44399</v>
      </c>
      <c r="C50" s="14" t="s">
        <v>23</v>
      </c>
      <c r="D50" s="9">
        <v>2</v>
      </c>
      <c r="E50" s="9">
        <v>2</v>
      </c>
      <c r="F50" s="9">
        <v>3</v>
      </c>
      <c r="G50" s="9">
        <v>2</v>
      </c>
      <c r="H50" s="9">
        <v>2</v>
      </c>
      <c r="I50" s="9">
        <v>3</v>
      </c>
      <c r="J50" s="7">
        <f t="shared" si="16"/>
        <v>14</v>
      </c>
      <c r="K50" s="7" t="str">
        <f>INDEX(Tabla2[Equipo],MATCH(Tabla1[[#This Row],[Nombre]],Tabla2[Nombre],0))</f>
        <v>EQUIPO 1</v>
      </c>
      <c r="L50" s="10" t="str">
        <f>INDEX(Tabla2[Deporte],MATCH(Tabla1[[#This Row],[Nombre]],Tabla2[Nombre],0))</f>
        <v>Futbol</v>
      </c>
      <c r="M50" s="10" t="str">
        <f>INDEX(Tabla2[Puesto],MATCH(Tabla1[[#This Row],[Nombre]],Tabla2[Nombre],0))</f>
        <v>Delantero</v>
      </c>
      <c r="N50" s="59">
        <f>IF(Tabla1[[#This Row],[Disponibilidad]]="Full",1,IF(Tabla1[[#This Row],[Disponibilidad]]="Parcial",2,IF(Tabla1[[#This Row],[Disponibilidad]]="Lesión",3,"")))</f>
        <v>1</v>
      </c>
      <c r="O50" s="8">
        <f t="shared" si="17"/>
        <v>3.1111111111111112</v>
      </c>
      <c r="P50" s="8">
        <f t="shared" si="18"/>
        <v>0.71813875430883989</v>
      </c>
      <c r="Q50" s="8">
        <f t="shared" si="3"/>
        <v>-1.5472095113157911</v>
      </c>
      <c r="R50" s="8">
        <f t="shared" si="19"/>
        <v>3.5925925925925926</v>
      </c>
      <c r="S50" s="8">
        <f t="shared" si="20"/>
        <v>0.96188726673470404</v>
      </c>
      <c r="T50" s="8">
        <f t="shared" si="21"/>
        <v>3.2777777777777777</v>
      </c>
      <c r="U50" s="8">
        <f t="shared" si="22"/>
        <v>0.73758061066754266</v>
      </c>
      <c r="V50" s="8">
        <f t="shared" si="23"/>
        <v>3.425925925925926</v>
      </c>
      <c r="W50" s="8">
        <f t="shared" si="24"/>
        <v>0.86005379059183884</v>
      </c>
      <c r="X50" s="8">
        <f t="shared" si="25"/>
        <v>2.9814814814814814</v>
      </c>
      <c r="Y50" s="8">
        <f t="shared" si="26"/>
        <v>0.83532257334360727</v>
      </c>
      <c r="Z50" s="8">
        <f t="shared" si="27"/>
        <v>3.425925925925926</v>
      </c>
      <c r="AA50" s="8">
        <f t="shared" si="28"/>
        <v>0.79150803883572729</v>
      </c>
      <c r="AB50" s="8">
        <f t="shared" si="29"/>
        <v>19.814814814814813</v>
      </c>
      <c r="AC50" s="8">
        <f t="shared" si="30"/>
        <v>2.8752297632492816</v>
      </c>
    </row>
    <row r="51" spans="1:29" ht="15.75" customHeight="1">
      <c r="A51" s="49" t="s">
        <v>59</v>
      </c>
      <c r="B51" s="5">
        <v>44400</v>
      </c>
      <c r="C51" s="14" t="s">
        <v>23</v>
      </c>
      <c r="D51" s="9">
        <v>3</v>
      </c>
      <c r="E51" s="9">
        <v>3</v>
      </c>
      <c r="F51" s="9">
        <v>3</v>
      </c>
      <c r="G51" s="9">
        <v>4</v>
      </c>
      <c r="H51" s="9">
        <v>4</v>
      </c>
      <c r="I51" s="9">
        <v>4</v>
      </c>
      <c r="J51" s="7">
        <f t="shared" si="16"/>
        <v>21</v>
      </c>
      <c r="K51" s="7" t="str">
        <f>INDEX(Tabla2[Equipo],MATCH(Tabla1[[#This Row],[Nombre]],Tabla2[Nombre],0))</f>
        <v>EQUIPO 1</v>
      </c>
      <c r="L51" s="10" t="str">
        <f>INDEX(Tabla2[Deporte],MATCH(Tabla1[[#This Row],[Nombre]],Tabla2[Nombre],0))</f>
        <v>Futbol</v>
      </c>
      <c r="M51" s="10" t="str">
        <f>INDEX(Tabla2[Puesto],MATCH(Tabla1[[#This Row],[Nombre]],Tabla2[Nombre],0))</f>
        <v>Delantero</v>
      </c>
      <c r="N51" s="59">
        <f>IF(Tabla1[[#This Row],[Disponibilidad]]="Full",1,IF(Tabla1[[#This Row],[Disponibilidad]]="Parcial",2,IF(Tabla1[[#This Row],[Disponibilidad]]="Lesión",3,"")))</f>
        <v>1</v>
      </c>
      <c r="O51" s="8">
        <f t="shared" si="17"/>
        <v>3.1111111111111112</v>
      </c>
      <c r="P51" s="8">
        <f t="shared" si="18"/>
        <v>0.71813875430883989</v>
      </c>
      <c r="Q51" s="8">
        <f t="shared" si="3"/>
        <v>-0.15472095113157919</v>
      </c>
      <c r="R51" s="8">
        <f t="shared" si="19"/>
        <v>3.5925925925925926</v>
      </c>
      <c r="S51" s="8">
        <f t="shared" si="20"/>
        <v>0.96188726673470404</v>
      </c>
      <c r="T51" s="8">
        <f t="shared" si="21"/>
        <v>3.2777777777777777</v>
      </c>
      <c r="U51" s="8">
        <f t="shared" si="22"/>
        <v>0.73758061066754266</v>
      </c>
      <c r="V51" s="8">
        <f t="shared" si="23"/>
        <v>3.425925925925926</v>
      </c>
      <c r="W51" s="8">
        <f t="shared" si="24"/>
        <v>0.86005379059183884</v>
      </c>
      <c r="X51" s="8">
        <f t="shared" si="25"/>
        <v>2.9814814814814814</v>
      </c>
      <c r="Y51" s="8">
        <f t="shared" si="26"/>
        <v>0.83532257334360727</v>
      </c>
      <c r="Z51" s="8">
        <f t="shared" si="27"/>
        <v>3.425925925925926</v>
      </c>
      <c r="AA51" s="8">
        <f t="shared" si="28"/>
        <v>0.79150803883572729</v>
      </c>
      <c r="AB51" s="8">
        <f t="shared" si="29"/>
        <v>19.814814814814813</v>
      </c>
      <c r="AC51" s="8">
        <f t="shared" si="30"/>
        <v>2.8752297632492816</v>
      </c>
    </row>
    <row r="52" spans="1:29" ht="15.75" customHeight="1">
      <c r="A52" s="49" t="s">
        <v>59</v>
      </c>
      <c r="B52" s="5">
        <v>44401</v>
      </c>
      <c r="C52" s="14" t="s">
        <v>23</v>
      </c>
      <c r="D52" s="9">
        <v>4</v>
      </c>
      <c r="E52" s="9">
        <v>4</v>
      </c>
      <c r="F52" s="9">
        <v>3</v>
      </c>
      <c r="G52" s="9">
        <v>4</v>
      </c>
      <c r="H52" s="9">
        <v>4</v>
      </c>
      <c r="I52" s="9">
        <v>4</v>
      </c>
      <c r="J52" s="7">
        <f t="shared" si="16"/>
        <v>23</v>
      </c>
      <c r="K52" s="7" t="str">
        <f>INDEX(Tabla2[Equipo],MATCH(Tabla1[[#This Row],[Nombre]],Tabla2[Nombre],0))</f>
        <v>EQUIPO 1</v>
      </c>
      <c r="L52" s="10" t="str">
        <f>INDEX(Tabla2[Deporte],MATCH(Tabla1[[#This Row],[Nombre]],Tabla2[Nombre],0))</f>
        <v>Futbol</v>
      </c>
      <c r="M52" s="10" t="str">
        <f>INDEX(Tabla2[Puesto],MATCH(Tabla1[[#This Row],[Nombre]],Tabla2[Nombre],0))</f>
        <v>Delantero</v>
      </c>
      <c r="N52" s="59">
        <f>IF(Tabla1[[#This Row],[Disponibilidad]]="Full",1,IF(Tabla1[[#This Row],[Disponibilidad]]="Parcial",2,IF(Tabla1[[#This Row],[Disponibilidad]]="Lesión",3,"")))</f>
        <v>1</v>
      </c>
      <c r="O52" s="8">
        <f t="shared" si="17"/>
        <v>3.1111111111111112</v>
      </c>
      <c r="P52" s="8">
        <f t="shared" si="18"/>
        <v>0.71813875430883989</v>
      </c>
      <c r="Q52" s="8">
        <f t="shared" si="3"/>
        <v>1.2377676090526328</v>
      </c>
      <c r="R52" s="8">
        <f t="shared" si="19"/>
        <v>3.5925925925925926</v>
      </c>
      <c r="S52" s="8">
        <f t="shared" si="20"/>
        <v>0.96188726673470404</v>
      </c>
      <c r="T52" s="8">
        <f t="shared" si="21"/>
        <v>3.2777777777777777</v>
      </c>
      <c r="U52" s="8">
        <f t="shared" si="22"/>
        <v>0.73758061066754266</v>
      </c>
      <c r="V52" s="8">
        <f t="shared" si="23"/>
        <v>3.425925925925926</v>
      </c>
      <c r="W52" s="8">
        <f t="shared" si="24"/>
        <v>0.86005379059183884</v>
      </c>
      <c r="X52" s="8">
        <f t="shared" si="25"/>
        <v>2.9814814814814814</v>
      </c>
      <c r="Y52" s="8">
        <f t="shared" si="26"/>
        <v>0.83532257334360727</v>
      </c>
      <c r="Z52" s="8">
        <f t="shared" si="27"/>
        <v>3.425925925925926</v>
      </c>
      <c r="AA52" s="8">
        <f t="shared" si="28"/>
        <v>0.79150803883572729</v>
      </c>
      <c r="AB52" s="8">
        <f t="shared" si="29"/>
        <v>19.814814814814813</v>
      </c>
      <c r="AC52" s="8">
        <f t="shared" si="30"/>
        <v>2.8752297632492816</v>
      </c>
    </row>
    <row r="53" spans="1:29" ht="15.75" customHeight="1">
      <c r="A53" s="49" t="s">
        <v>59</v>
      </c>
      <c r="B53" s="5">
        <v>44403</v>
      </c>
      <c r="C53" s="14" t="s">
        <v>23</v>
      </c>
      <c r="D53" s="9">
        <v>3</v>
      </c>
      <c r="E53" s="9">
        <v>3</v>
      </c>
      <c r="F53" s="9">
        <v>3</v>
      </c>
      <c r="G53" s="9">
        <v>4</v>
      </c>
      <c r="H53" s="9">
        <v>3</v>
      </c>
      <c r="I53" s="9">
        <v>5</v>
      </c>
      <c r="J53" s="7">
        <f t="shared" si="16"/>
        <v>21</v>
      </c>
      <c r="K53" s="7" t="str">
        <f>INDEX(Tabla2[Equipo],MATCH(Tabla1[[#This Row],[Nombre]],Tabla2[Nombre],0))</f>
        <v>EQUIPO 1</v>
      </c>
      <c r="L53" s="10" t="str">
        <f>INDEX(Tabla2[Deporte],MATCH(Tabla1[[#This Row],[Nombre]],Tabla2[Nombre],0))</f>
        <v>Futbol</v>
      </c>
      <c r="M53" s="10" t="str">
        <f>INDEX(Tabla2[Puesto],MATCH(Tabla1[[#This Row],[Nombre]],Tabla2[Nombre],0))</f>
        <v>Delantero</v>
      </c>
      <c r="N53" s="59">
        <f>IF(Tabla1[[#This Row],[Disponibilidad]]="Full",1,IF(Tabla1[[#This Row],[Disponibilidad]]="Parcial",2,IF(Tabla1[[#This Row],[Disponibilidad]]="Lesión",3,"")))</f>
        <v>1</v>
      </c>
      <c r="O53" s="8">
        <f t="shared" si="17"/>
        <v>3.1111111111111112</v>
      </c>
      <c r="P53" s="8">
        <f t="shared" si="18"/>
        <v>0.71813875430883989</v>
      </c>
      <c r="Q53" s="8">
        <f t="shared" si="3"/>
        <v>-0.15472095113157919</v>
      </c>
      <c r="R53" s="8">
        <f t="shared" si="19"/>
        <v>3.5925925925925926</v>
      </c>
      <c r="S53" s="8">
        <f t="shared" si="20"/>
        <v>0.96188726673470404</v>
      </c>
      <c r="T53" s="8">
        <f t="shared" si="21"/>
        <v>3.2777777777777777</v>
      </c>
      <c r="U53" s="8">
        <f t="shared" si="22"/>
        <v>0.73758061066754266</v>
      </c>
      <c r="V53" s="8">
        <f t="shared" si="23"/>
        <v>3.425925925925926</v>
      </c>
      <c r="W53" s="8">
        <f t="shared" si="24"/>
        <v>0.86005379059183884</v>
      </c>
      <c r="X53" s="8">
        <f t="shared" si="25"/>
        <v>2.9814814814814814</v>
      </c>
      <c r="Y53" s="8">
        <f t="shared" si="26"/>
        <v>0.83532257334360727</v>
      </c>
      <c r="Z53" s="8">
        <f t="shared" si="27"/>
        <v>3.425925925925926</v>
      </c>
      <c r="AA53" s="8">
        <f t="shared" si="28"/>
        <v>0.79150803883572729</v>
      </c>
      <c r="AB53" s="8">
        <f t="shared" si="29"/>
        <v>19.814814814814813</v>
      </c>
      <c r="AC53" s="8">
        <f t="shared" si="30"/>
        <v>2.8752297632492816</v>
      </c>
    </row>
    <row r="54" spans="1:29" ht="15.75" customHeight="1">
      <c r="A54" s="49" t="s">
        <v>59</v>
      </c>
      <c r="B54" s="5">
        <v>44405</v>
      </c>
      <c r="C54" s="14" t="s">
        <v>24</v>
      </c>
      <c r="D54" s="9">
        <v>2</v>
      </c>
      <c r="E54" s="9">
        <v>5</v>
      </c>
      <c r="F54" s="9">
        <v>3</v>
      </c>
      <c r="G54" s="9">
        <v>3</v>
      </c>
      <c r="H54" s="9">
        <v>3</v>
      </c>
      <c r="I54" s="9">
        <v>3</v>
      </c>
      <c r="J54" s="7">
        <f t="shared" si="16"/>
        <v>19</v>
      </c>
      <c r="K54" s="7" t="str">
        <f>INDEX(Tabla2[Equipo],MATCH(Tabla1[[#This Row],[Nombre]],Tabla2[Nombre],0))</f>
        <v>EQUIPO 1</v>
      </c>
      <c r="L54" s="10" t="str">
        <f>INDEX(Tabla2[Deporte],MATCH(Tabla1[[#This Row],[Nombre]],Tabla2[Nombre],0))</f>
        <v>Futbol</v>
      </c>
      <c r="M54" s="10" t="str">
        <f>INDEX(Tabla2[Puesto],MATCH(Tabla1[[#This Row],[Nombre]],Tabla2[Nombre],0))</f>
        <v>Delantero</v>
      </c>
      <c r="N54" s="59">
        <f>IF(Tabla1[[#This Row],[Disponibilidad]]="Full",1,IF(Tabla1[[#This Row],[Disponibilidad]]="Parcial",2,IF(Tabla1[[#This Row],[Disponibilidad]]="Lesión",3,"")))</f>
        <v>2</v>
      </c>
      <c r="O54" s="8">
        <f t="shared" si="17"/>
        <v>3.1111111111111112</v>
      </c>
      <c r="P54" s="8">
        <f t="shared" si="18"/>
        <v>0.71813875430883989</v>
      </c>
      <c r="Q54" s="8">
        <f t="shared" si="3"/>
        <v>-1.5472095113157911</v>
      </c>
      <c r="R54" s="8">
        <f t="shared" si="19"/>
        <v>3.5925925925925926</v>
      </c>
      <c r="S54" s="8">
        <f t="shared" si="20"/>
        <v>0.96188726673470404</v>
      </c>
      <c r="T54" s="8">
        <f t="shared" si="21"/>
        <v>3.2777777777777777</v>
      </c>
      <c r="U54" s="8">
        <f t="shared" si="22"/>
        <v>0.73758061066754266</v>
      </c>
      <c r="V54" s="8">
        <f t="shared" si="23"/>
        <v>3.425925925925926</v>
      </c>
      <c r="W54" s="8">
        <f t="shared" si="24"/>
        <v>0.86005379059183884</v>
      </c>
      <c r="X54" s="8">
        <f t="shared" si="25"/>
        <v>2.9814814814814814</v>
      </c>
      <c r="Y54" s="8">
        <f t="shared" si="26"/>
        <v>0.83532257334360727</v>
      </c>
      <c r="Z54" s="8">
        <f t="shared" si="27"/>
        <v>3.425925925925926</v>
      </c>
      <c r="AA54" s="8">
        <f t="shared" si="28"/>
        <v>0.79150803883572729</v>
      </c>
      <c r="AB54" s="8">
        <f t="shared" si="29"/>
        <v>19.814814814814813</v>
      </c>
      <c r="AC54" s="8">
        <f t="shared" si="30"/>
        <v>2.8752297632492816</v>
      </c>
    </row>
    <row r="55" spans="1:29" ht="15.75" customHeight="1">
      <c r="A55" s="49" t="s">
        <v>59</v>
      </c>
      <c r="B55" s="5">
        <v>44406</v>
      </c>
      <c r="C55" s="14" t="s">
        <v>24</v>
      </c>
      <c r="D55" s="9">
        <v>1</v>
      </c>
      <c r="E55" s="9">
        <v>5</v>
      </c>
      <c r="F55" s="9">
        <v>2</v>
      </c>
      <c r="G55" s="9">
        <v>3</v>
      </c>
      <c r="H55" s="9">
        <v>3</v>
      </c>
      <c r="I55" s="9">
        <v>3</v>
      </c>
      <c r="J55" s="7">
        <f t="shared" si="16"/>
        <v>17</v>
      </c>
      <c r="K55" s="7" t="str">
        <f>INDEX(Tabla2[Equipo],MATCH(Tabla1[[#This Row],[Nombre]],Tabla2[Nombre],0))</f>
        <v>EQUIPO 1</v>
      </c>
      <c r="L55" s="10" t="str">
        <f>INDEX(Tabla2[Deporte],MATCH(Tabla1[[#This Row],[Nombre]],Tabla2[Nombre],0))</f>
        <v>Futbol</v>
      </c>
      <c r="M55" s="10" t="str">
        <f>INDEX(Tabla2[Puesto],MATCH(Tabla1[[#This Row],[Nombre]],Tabla2[Nombre],0))</f>
        <v>Delantero</v>
      </c>
      <c r="N55" s="59">
        <f>IF(Tabla1[[#This Row],[Disponibilidad]]="Full",1,IF(Tabla1[[#This Row],[Disponibilidad]]="Parcial",2,IF(Tabla1[[#This Row],[Disponibilidad]]="Lesión",3,"")))</f>
        <v>2</v>
      </c>
      <c r="O55" s="8">
        <f t="shared" si="17"/>
        <v>3.1111111111111112</v>
      </c>
      <c r="P55" s="8">
        <f t="shared" si="18"/>
        <v>0.71813875430883989</v>
      </c>
      <c r="Q55" s="8">
        <f t="shared" si="3"/>
        <v>-2.9396980715000032</v>
      </c>
      <c r="R55" s="8">
        <f t="shared" si="19"/>
        <v>3.5925925925925926</v>
      </c>
      <c r="S55" s="8">
        <f t="shared" si="20"/>
        <v>0.96188726673470404</v>
      </c>
      <c r="T55" s="8">
        <f t="shared" si="21"/>
        <v>3.2777777777777777</v>
      </c>
      <c r="U55" s="8">
        <f t="shared" si="22"/>
        <v>0.73758061066754266</v>
      </c>
      <c r="V55" s="8">
        <f t="shared" si="23"/>
        <v>3.425925925925926</v>
      </c>
      <c r="W55" s="8">
        <f t="shared" si="24"/>
        <v>0.86005379059183884</v>
      </c>
      <c r="X55" s="8">
        <f t="shared" si="25"/>
        <v>2.9814814814814814</v>
      </c>
      <c r="Y55" s="8">
        <f t="shared" si="26"/>
        <v>0.83532257334360727</v>
      </c>
      <c r="Z55" s="8">
        <f t="shared" si="27"/>
        <v>3.425925925925926</v>
      </c>
      <c r="AA55" s="8">
        <f t="shared" si="28"/>
        <v>0.79150803883572729</v>
      </c>
      <c r="AB55" s="8">
        <f t="shared" si="29"/>
        <v>19.814814814814813</v>
      </c>
      <c r="AC55" s="8">
        <f t="shared" si="30"/>
        <v>2.8752297632492816</v>
      </c>
    </row>
  </sheetData>
  <conditionalFormatting sqref="D1:I19 D38:I55">
    <cfRule type="colorScale" priority="5">
      <colorScale>
        <cfvo type="formula" val="0"/>
        <cfvo type="formula" val="3"/>
        <cfvo type="formula" val="5"/>
        <color rgb="FFFF0000"/>
        <color rgb="FFFFE599"/>
        <color rgb="FF00FF00"/>
      </colorScale>
    </cfRule>
  </conditionalFormatting>
  <conditionalFormatting sqref="D20:I37">
    <cfRule type="colorScale" priority="1">
      <colorScale>
        <cfvo type="formula" val="0"/>
        <cfvo type="formula" val="3"/>
        <cfvo type="formula" val="5"/>
        <color rgb="FFFF0000"/>
        <color rgb="FFFFE599"/>
        <color rgb="FF00FF00"/>
      </colorScale>
    </cfRule>
  </conditionalFormatting>
  <pageMargins left="0.7" right="0.7" top="0.75" bottom="0.75" header="0.3" footer="0.3"/>
  <pageSetup paperSize="9" orientation="portrait" horizontalDpi="0" verticalDpi="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Y42"/>
  <sheetViews>
    <sheetView tabSelected="1" zoomScale="150" zoomScaleNormal="100" workbookViewId="0">
      <selection activeCell="M10" sqref="M10"/>
    </sheetView>
  </sheetViews>
  <sheetFormatPr baseColWidth="10" defaultColWidth="14.5" defaultRowHeight="15.75" customHeight="1"/>
  <cols>
    <col min="1" max="1" width="24" style="18" bestFit="1" customWidth="1"/>
    <col min="2" max="2" width="0.6640625" style="19" customWidth="1"/>
    <col min="3" max="3" width="13.33203125" style="17" bestFit="1" customWidth="1"/>
    <col min="4" max="4" width="14.5" style="17"/>
    <col min="5" max="5" width="12.1640625" style="17" bestFit="1" customWidth="1"/>
    <col min="6" max="6" width="12.1640625" style="17" customWidth="1"/>
    <col min="7" max="7" width="4.83203125" style="17" customWidth="1"/>
    <col min="8" max="12" width="14.5" style="17"/>
  </cols>
  <sheetData>
    <row r="1" spans="1:25" ht="32">
      <c r="A1" s="25"/>
      <c r="B1" s="26"/>
      <c r="C1" s="71" t="str">
        <f>$A$5 &amp;" Wellness: "&amp;TEXT($A$9, " dd/mm/yy")</f>
        <v>Jugador 2 Wellness:  29/07/21</v>
      </c>
      <c r="D1" s="71"/>
      <c r="E1" s="71"/>
      <c r="F1" s="71"/>
      <c r="G1" s="71"/>
      <c r="H1" s="71"/>
      <c r="I1" s="71"/>
      <c r="J1" s="71"/>
      <c r="K1"/>
      <c r="L1"/>
    </row>
    <row r="2" spans="1:25" s="21" customFormat="1" ht="5" customHeight="1">
      <c r="A2" s="27"/>
      <c r="B2" s="26"/>
      <c r="C2" s="26"/>
      <c r="D2" s="26"/>
      <c r="E2" s="28"/>
      <c r="F2" s="28"/>
      <c r="G2" s="29"/>
      <c r="H2" s="30"/>
      <c r="I2" s="31"/>
      <c r="J2" s="31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</row>
    <row r="3" spans="1:25" s="21" customFormat="1" ht="20" customHeight="1">
      <c r="A3" s="67" t="s">
        <v>15</v>
      </c>
      <c r="B3" s="26"/>
      <c r="C3" s="75" t="str">
        <f>INDEX(Tabla2[Equipo],MATCH($A$5,Tabla2[Nombre],0))</f>
        <v>EQUIPO 2</v>
      </c>
      <c r="D3" s="75"/>
      <c r="E3" s="75"/>
      <c r="F3" s="75"/>
      <c r="G3" s="75"/>
      <c r="H3" s="75"/>
      <c r="I3" s="75"/>
      <c r="J3" s="75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5" ht="20" customHeight="1">
      <c r="A4" s="67"/>
      <c r="B4" s="26"/>
      <c r="C4" s="68" t="str">
        <f>A5</f>
        <v>Jugador 2</v>
      </c>
      <c r="D4" s="68"/>
      <c r="E4" s="68"/>
      <c r="F4" s="68"/>
      <c r="G4" s="26"/>
      <c r="H4" s="68" t="s">
        <v>25</v>
      </c>
      <c r="I4" s="68"/>
      <c r="J4" s="68"/>
      <c r="K4"/>
      <c r="L4"/>
    </row>
    <row r="5" spans="1:25" ht="20" customHeight="1">
      <c r="A5" s="66" t="s">
        <v>58</v>
      </c>
      <c r="B5" s="26"/>
      <c r="C5" s="33" t="s">
        <v>21</v>
      </c>
      <c r="D5" s="34" t="str">
        <f>INDEX(Tabla2[Deporte],MATCH($A$5,Tabla2[Nombre],0))</f>
        <v>Futbol</v>
      </c>
      <c r="E5" s="35"/>
      <c r="F5" s="35"/>
      <c r="G5" s="26"/>
      <c r="H5" s="32"/>
      <c r="I5" s="32"/>
      <c r="J5" s="32"/>
      <c r="K5"/>
      <c r="L5"/>
    </row>
    <row r="6" spans="1:25" ht="20" customHeight="1">
      <c r="A6" s="66"/>
      <c r="B6" s="26"/>
      <c r="C6" s="33" t="s">
        <v>53</v>
      </c>
      <c r="D6" s="34" t="str">
        <f>INDEX(Tabla2[Puesto],MATCH($A$5,Tabla2[Nombre],0))</f>
        <v>Defensor</v>
      </c>
      <c r="E6" s="35"/>
      <c r="F6" s="35"/>
      <c r="G6" s="26"/>
      <c r="H6" s="32"/>
      <c r="I6" s="32"/>
      <c r="J6" s="32"/>
      <c r="K6"/>
      <c r="L6" s="22"/>
    </row>
    <row r="7" spans="1:25" ht="20" customHeight="1">
      <c r="A7" s="67" t="s">
        <v>4</v>
      </c>
      <c r="B7" s="26"/>
      <c r="C7" s="33" t="s">
        <v>52</v>
      </c>
      <c r="D7" s="34">
        <f>INDEX(Tabla2[Altura],MATCH($A$5,Tabla2[Nombre],0))</f>
        <v>175</v>
      </c>
      <c r="E7" s="35"/>
      <c r="F7" s="35"/>
      <c r="G7" s="26"/>
      <c r="H7" s="32"/>
      <c r="I7" s="32"/>
      <c r="J7" s="32"/>
      <c r="K7"/>
      <c r="L7" s="22"/>
    </row>
    <row r="8" spans="1:25" ht="19">
      <c r="A8" s="67"/>
      <c r="B8" s="26"/>
      <c r="C8" s="33" t="s">
        <v>22</v>
      </c>
      <c r="D8" s="34">
        <f>INDEX(Tabla2[Peso],MATCH($A$5,Tabla2[Nombre],0))</f>
        <v>66</v>
      </c>
      <c r="E8" s="35"/>
      <c r="F8" s="35"/>
      <c r="G8" s="26"/>
      <c r="H8" s="32"/>
      <c r="I8" s="32"/>
      <c r="J8" s="32"/>
      <c r="K8"/>
      <c r="L8"/>
    </row>
    <row r="9" spans="1:25" ht="20" customHeight="1">
      <c r="A9" s="69">
        <v>44406</v>
      </c>
      <c r="B9" s="26"/>
      <c r="C9" s="33" t="s">
        <v>31</v>
      </c>
      <c r="D9" s="53">
        <f t="array" ref="D9">INDEX(Tabla1[Dispo],MATCH(1,($A$5=Tabla1[Nombre])*($A$9=Tabla1[Fecha]),0))</f>
        <v>1</v>
      </c>
      <c r="E9" s="35"/>
      <c r="F9" s="35"/>
      <c r="G9" s="26"/>
      <c r="H9" s="32"/>
      <c r="I9" s="32"/>
      <c r="J9" s="32"/>
      <c r="K9"/>
      <c r="L9"/>
    </row>
    <row r="10" spans="1:25" ht="20" customHeight="1">
      <c r="A10" s="69"/>
      <c r="B10" s="26"/>
      <c r="C10" s="61"/>
      <c r="D10" s="61"/>
      <c r="E10" s="35"/>
      <c r="F10" s="35"/>
      <c r="G10" s="26"/>
      <c r="H10" s="47" t="str">
        <f>TEXT($A$9, "dd/mm")&amp;":"</f>
        <v>29/07:</v>
      </c>
      <c r="I10" s="36">
        <f>AVERAGEIFS(Tabla1[Readiness], Tabla1[Nombre], $A$5, Tabla1[Fecha], $A$9)/_xlfn.MAXIFS(Tabla1[Readiness], Tabla1[Nombre], $A$5)</f>
        <v>0.70833333333333337</v>
      </c>
      <c r="J10" s="47" t="s">
        <v>32</v>
      </c>
      <c r="K10"/>
      <c r="L10"/>
    </row>
    <row r="11" spans="1:25" ht="20" customHeight="1">
      <c r="A11" s="67" t="s">
        <v>79</v>
      </c>
      <c r="B11" s="26"/>
      <c r="C11" s="26"/>
      <c r="D11" s="26"/>
      <c r="E11" s="26"/>
      <c r="F11" s="26"/>
      <c r="G11" s="26"/>
      <c r="H11" s="26"/>
      <c r="I11" s="26"/>
      <c r="J11" s="37"/>
      <c r="K11"/>
      <c r="L11"/>
    </row>
    <row r="12" spans="1:25" ht="20" customHeight="1">
      <c r="A12" s="67"/>
      <c r="B12" s="26"/>
      <c r="C12" s="68" t="s">
        <v>10</v>
      </c>
      <c r="D12" s="68"/>
      <c r="E12" s="68"/>
      <c r="F12" s="68"/>
      <c r="G12" s="68"/>
      <c r="H12" s="68"/>
      <c r="I12" s="68"/>
      <c r="J12" s="68"/>
      <c r="K12"/>
      <c r="L12"/>
    </row>
    <row r="13" spans="1:25" ht="20" customHeight="1">
      <c r="A13" s="66" t="s">
        <v>14</v>
      </c>
      <c r="B13" s="26"/>
      <c r="C13" s="72" t="str">
        <f>Ref!Q10</f>
        <v>Jugador 2 El 29/07 Vs Media Propia Entre El 22/07 Y 29/07 (Últimos 7 Días)</v>
      </c>
      <c r="D13" s="72"/>
      <c r="E13" s="72"/>
      <c r="F13" s="72"/>
      <c r="G13" s="72"/>
      <c r="H13" s="72"/>
      <c r="I13" s="72"/>
      <c r="J13" s="72"/>
      <c r="K13"/>
      <c r="L13"/>
    </row>
    <row r="14" spans="1:25" ht="20" customHeight="1">
      <c r="A14" s="66"/>
      <c r="B14" s="26"/>
      <c r="C14" s="72"/>
      <c r="D14" s="72"/>
      <c r="E14" s="72"/>
      <c r="F14" s="72"/>
      <c r="G14" s="72"/>
      <c r="H14" s="72"/>
      <c r="I14" s="72"/>
      <c r="J14" s="72"/>
      <c r="K14"/>
      <c r="L14"/>
    </row>
    <row r="15" spans="1:25" ht="20" customHeight="1">
      <c r="A15" s="67" t="s">
        <v>16</v>
      </c>
      <c r="B15" s="26"/>
      <c r="C15" s="72"/>
      <c r="D15" s="72"/>
      <c r="E15" s="72"/>
      <c r="F15" s="72"/>
      <c r="G15" s="72"/>
      <c r="H15" s="72"/>
      <c r="I15" s="72"/>
      <c r="J15" s="72"/>
      <c r="K15"/>
      <c r="L15"/>
    </row>
    <row r="16" spans="1:25" ht="20" customHeight="1">
      <c r="A16" s="67"/>
      <c r="B16" s="26"/>
      <c r="C16" s="32"/>
      <c r="D16" s="39" t="s">
        <v>33</v>
      </c>
      <c r="E16" s="39" t="s">
        <v>29</v>
      </c>
      <c r="F16" s="39" t="s">
        <v>34</v>
      </c>
      <c r="G16" s="26"/>
      <c r="H16" s="38" t="s">
        <v>35</v>
      </c>
      <c r="I16" s="37"/>
      <c r="J16" s="37"/>
      <c r="K16"/>
      <c r="L16"/>
    </row>
    <row r="17" spans="1:12" ht="20" customHeight="1">
      <c r="A17" s="70">
        <v>7</v>
      </c>
      <c r="B17" s="26"/>
      <c r="C17" s="40" t="s">
        <v>10</v>
      </c>
      <c r="D17" s="41">
        <f>AVERAGEIFS(Tabla1[Readiness], Tabla1[Nombre], $A$5, Tabla1[Fecha], $A$9)</f>
        <v>17</v>
      </c>
      <c r="E17" s="42">
        <f>IF(AND($A$13=Ref!$A$2,$A$17=""),AVERAGEIFS(Tabla1[Readiness],Tabla1[[Nombre]:[Nombre]],$A$5,Tabla1[Readiness],"&lt;&gt;""",Tabla1[Equipo],$C$3),
IF(AND($A$13=Ref!$A$2,$A$17&lt;&gt;""),AVERAGEIFS(Tabla1[Readiness],Tabla1[[Nombre]:[Nombre]],$A$5,Tabla1[[Fecha]:[Fecha]],"&lt;="&amp;$A$9,Tabla1[[Fecha]:[Fecha]],"&gt;="&amp;$A$9-$A$17,Tabla1[Readiness],"&lt;&gt;""",Tabla1[Equipo],$C$3),
IF(AND($A$13=Ref!$A$3,$A$17=""),AVERAGEIFS(Tabla1[Readiness],Tabla1[[Fecha]:[Fecha]],$A$9,Tabla1[Readiness],"&lt;&gt;""",Tabla1[Equipo],$C$3),
IF(AND($A$13=Ref!$A$3,$A$17&lt;&gt;""),AVERAGEIFS(Tabla1[Readiness],Tabla1[[Fecha]:[Fecha]],"&lt;="&amp;$A$9,Tabla1[[Fecha]:[Fecha]],"&gt;="&amp;$A$9-$A$17,Tabla1[Readiness],"&lt;&gt;""",Tabla1[Equipo],$C$3),
IF(AND($A$13=Ref!$A$4,$A$17=""),AVERAGEIFS(Tabla1[Readiness],Tabla1[[Fecha]:[Fecha]],$A$9,Tabla1[[Puesto]:[Puesto]],$D$6,Tabla1[Readiness],"&lt;&gt;""""",Tabla1[Equipo],$C$3),
IF(AND($A$13=Ref!$A$4,$A$17&lt;&gt;""),AVERAGEIFS(Tabla1[Readiness],Tabla1[[Fecha]:[Fecha]],"&lt;="&amp;$A$9,Tabla1[[Fecha]:[Fecha]],"&gt;="&amp;$A$9-$A$17,Tabla1[[Puesto]:[Puesto]],$D$6,Tabla1[Readiness],"&lt;&gt;""""",Tabla1[Equipo],$C$3)))))))</f>
        <v>20.333333333333332</v>
      </c>
      <c r="F17" s="43">
        <f t="shared" ref="F17:F23" si="0">(D17-E17)/E17</f>
        <v>-0.16393442622950816</v>
      </c>
      <c r="G17" s="26"/>
      <c r="H17" s="44">
        <f>(D17-E17)/'Respuestas de formulario 1'!AC2</f>
        <v>-1.1593276391123435</v>
      </c>
      <c r="I17" s="26"/>
      <c r="J17" s="37"/>
      <c r="K17"/>
      <c r="L17"/>
    </row>
    <row r="18" spans="1:12" ht="20" customHeight="1">
      <c r="A18" s="70"/>
      <c r="B18" s="26"/>
      <c r="C18" s="40" t="s">
        <v>5</v>
      </c>
      <c r="D18" s="41">
        <f>AVERAGEIFS(Tabla1[Estrés], Tabla1[Nombre], $A$5, Tabla1[Fecha], $A$9)</f>
        <v>3</v>
      </c>
      <c r="E18" s="42">
        <f>IF(AND($A$13=Ref!$A$2,$A$17=""),AVERAGEIFS(Tabla1[Estrés],Tabla1[[Nombre]:[Nombre]],$A$5,Tabla1[Estrés],"&lt;&gt;""",Tabla1[Equipo],$C$3),
IF(AND($A$13=Ref!$A$2,$A$17&lt;&gt;""),AVERAGEIFS(Tabla1[Estrés],Tabla1[[Nombre]:[Nombre]],$A$5,Tabla1[[Fecha]:[Fecha]],"&lt;="&amp;$A$9,Tabla1[[Fecha]:[Fecha]],"&gt;="&amp;$A$9-$A$17,Tabla1[Estrés],"&lt;&gt;""",Tabla1[Equipo],$C$3),
IF(AND($A$13=Ref!$A$3,$A$17=""),AVERAGEIFS(Tabla1[Estrés],Tabla1[[Fecha]:[Fecha]],$A$9,Tabla1[Estrés],"&lt;&gt;""",Tabla1[Equipo],$C$3),
IF(AND($A$13=Ref!$A$3,$A$17&lt;&gt;""),AVERAGEIFS(Tabla1[Estrés],Tabla1[[Fecha]:[Fecha]],"&lt;="&amp;$A$9,Tabla1[[Fecha]:[Fecha]],"&gt;="&amp;$A$9-$A$17,Tabla1[Estrés],"&lt;&gt;""",Tabla1[Equipo],$C$3),
IF(AND($A$13=Ref!$A$4,$A$17=""),AVERAGEIFS(Tabla1[Estrés],Tabla1[[Fecha]:[Fecha]],$A$9,Tabla1[[Puesto]:[Puesto]],$D$6,Tabla1[Estrés],"&lt;&gt;""""",Tabla1[Equipo],$C$3),
IF(AND($A$13=Ref!$A$4,$A$17&lt;&gt;""),AVERAGEIFS(Tabla1[Estrés],Tabla1[[Fecha]:[Fecha]],"&lt;="&amp;$A$9,Tabla1[[Fecha]:[Fecha]],"&gt;="&amp;$A$9-$A$17,Tabla1[[Puesto]:[Puesto]],$D$6,Tabla1[Estrés],"&lt;&gt;""""",Tabla1[Equipo],$C$3)))))))</f>
        <v>3.1666666666666665</v>
      </c>
      <c r="F18" s="43">
        <f t="shared" si="0"/>
        <v>-5.2631578947368376E-2</v>
      </c>
      <c r="G18" s="26"/>
      <c r="H18" s="44">
        <f>(D18-E18)/'Respuestas de formulario 1'!P2</f>
        <v>-0.23208142669736845</v>
      </c>
      <c r="I18" s="26"/>
      <c r="J18" s="37"/>
      <c r="K18"/>
      <c r="L18"/>
    </row>
    <row r="19" spans="1:12" ht="20" customHeight="1">
      <c r="A19" s="67" t="s">
        <v>80</v>
      </c>
      <c r="B19" s="26"/>
      <c r="C19" s="45" t="s">
        <v>11</v>
      </c>
      <c r="D19" s="41">
        <f>AVERAGEIFS(Tabla1[Sueño], Tabla1[Nombre], $A$5, Tabla1[Fecha], $A$9)</f>
        <v>3</v>
      </c>
      <c r="E19" s="42">
        <f>IF(AND($A$13=Ref!$A$2,$A$17=""),AVERAGEIFS(Tabla1[Sueño],Tabla1[[Nombre]:[Nombre]],$A$5,Tabla1[Sueño],"&lt;&gt;""",Tabla1[Equipo],$C$3),
IF(AND($A$13=Ref!$A$2,$A$17&lt;&gt;""),AVERAGEIFS(Tabla1[Sueño],Tabla1[[Nombre]:[Nombre]],$A$5,Tabla1[[Fecha]:[Fecha]],"&lt;="&amp;$A$9,Tabla1[[Fecha]:[Fecha]],"&gt;="&amp;$A$9-$A$17,Tabla1[Sueño],"&lt;&gt;""",Tabla1[Equipo],$C$3),
IF(AND($A$13=Ref!$A$3,$A$17=""),AVERAGEIFS(Tabla1[Sueño],Tabla1[[Fecha]:[Fecha]],$A$9,Tabla1[Sueño],"&lt;&gt;""",Tabla1[Equipo],$C$3),
IF(AND($A$13=Ref!$A$3,$A$17&lt;&gt;""),AVERAGEIFS(Tabla1[Sueño],Tabla1[[Fecha]:[Fecha]],"&lt;="&amp;$A$9,Tabla1[[Fecha]:[Fecha]],"&gt;="&amp;$A$9-$A$17,Tabla1[Sueño],"&lt;&gt;""",Tabla1[Equipo],$C$3),
IF(AND($A$13=Ref!$A$4,$A$17=""),AVERAGEIFS(Tabla1[Sueño],Tabla1[[Fecha]:[Fecha]],$A$9,Tabla1[[Puesto]:[Puesto]],$D$6,Tabla1[Sueño],"&lt;&gt;""""",Tabla1[Equipo],$C$3),
IF(AND($A$13=Ref!$A$4,$A$17&lt;&gt;""),AVERAGEIFS(Tabla1[Sueño],Tabla1[[Fecha]:[Fecha]],"&lt;="&amp;$A$9,Tabla1[[Fecha]:[Fecha]],"&gt;="&amp;$A$9-$A$17,Tabla1[[Puesto]:[Puesto]],$D$6,Tabla1[Sueño],"&lt;&gt;""""",Tabla1[Equipo],$C$3)))))))</f>
        <v>3.6666666666666665</v>
      </c>
      <c r="F19" s="43">
        <f t="shared" si="0"/>
        <v>-0.1818181818181818</v>
      </c>
      <c r="G19" s="26"/>
      <c r="H19" s="44">
        <f>(D19-E19)/'Respuestas de formulario 1'!S2</f>
        <v>-0.69308191273784514</v>
      </c>
      <c r="I19" s="26"/>
      <c r="J19" s="37"/>
      <c r="K19"/>
      <c r="L19"/>
    </row>
    <row r="20" spans="1:12" ht="20" customHeight="1">
      <c r="A20" s="67"/>
      <c r="B20" s="26"/>
      <c r="C20" s="40" t="s">
        <v>6</v>
      </c>
      <c r="D20" s="41">
        <f>AVERAGEIFS(Tabla1[DOMS], Tabla1[Nombre], $A$5, Tabla1[Fecha], $A$9)</f>
        <v>4</v>
      </c>
      <c r="E20" s="42">
        <f>IF(AND($A$13=Ref!$A$2,$A$17=""),AVERAGEIFS(Tabla1[DOMS],Tabla1[[Nombre]:[Nombre]],$A$5,Tabla1[DOMS],"&lt;&gt;""",Tabla1[Equipo],$C$3),
IF(AND($A$13=Ref!$A$2,$A$17&lt;&gt;""),AVERAGEIFS(Tabla1[DOMS],Tabla1[[Nombre]:[Nombre]],$A$5,Tabla1[[Fecha]:[Fecha]],"&lt;="&amp;$A$9,Tabla1[[Fecha]:[Fecha]],"&gt;="&amp;$A$9-$A$17,Tabla1[DOMS],"&lt;&gt;""",Tabla1[Equipo],$C$3),
IF(AND($A$13=Ref!$A$3,$A$17=""),AVERAGEIFS(Tabla1[DOMS],Tabla1[[Fecha]:[Fecha]],$A$9,Tabla1[DOMS],"&lt;&gt;""",Tabla1[Equipo],$C$3),
IF(AND($A$13=Ref!$A$3,$A$17&lt;&gt;""),AVERAGEIFS(Tabla1[DOMS],Tabla1[[Fecha]:[Fecha]],"&lt;="&amp;$A$9,Tabla1[[Fecha]:[Fecha]],"&gt;="&amp;$A$9-$A$17,Tabla1[DOMS],"&lt;&gt;""",Tabla1[Equipo],$C$3),
IF(AND($A$13=Ref!$A$4,$A$17=""),AVERAGEIFS(Tabla1[DOMS],Tabla1[[Fecha]:[Fecha]],$A$9,Tabla1[[Puesto]:[Puesto]],$D$6,Tabla1[DOMS],"&lt;&gt;""""",Tabla1[Equipo],$C$3),
IF(AND($A$13=Ref!$A$4,$A$17&lt;&gt;""),AVERAGEIFS(Tabla1[DOMS],Tabla1[[Fecha]:[Fecha]],"&lt;="&amp;$A$9,Tabla1[[Fecha]:[Fecha]],"&gt;="&amp;$A$9-$A$17,Tabla1[[Puesto]:[Puesto]],$D$6,Tabla1[DOMS],"&lt;&gt;""""",Tabla1[Equipo],$C$3)))))))</f>
        <v>3.5</v>
      </c>
      <c r="F20" s="43">
        <f t="shared" si="0"/>
        <v>0.14285714285714285</v>
      </c>
      <c r="G20" s="26"/>
      <c r="H20" s="44">
        <f>(D20-E20)/'Respuestas de formulario 1'!U2</f>
        <v>0.67789200633606428</v>
      </c>
      <c r="I20" s="26"/>
      <c r="J20" s="37"/>
      <c r="K20"/>
      <c r="L20"/>
    </row>
    <row r="21" spans="1:12" ht="20" customHeight="1">
      <c r="A21" s="66" t="s">
        <v>10</v>
      </c>
      <c r="B21" s="26"/>
      <c r="C21" s="40" t="s">
        <v>7</v>
      </c>
      <c r="D21" s="41">
        <f>AVERAGEIFS(Tabla1[Energía], Tabla1[Nombre], $A$5, Tabla1[Fecha], $A$9)</f>
        <v>2</v>
      </c>
      <c r="E21" s="42">
        <f>IF(AND($A$13=Ref!$A$2,$A$17=""),AVERAGEIFS(Tabla1[Energía],Tabla1[[Nombre]:[Nombre]],$A$5,Tabla1[Energía],"&lt;&gt;""",Tabla1[Equipo],$C$3),
IF(AND($A$13=Ref!$A$2,$A$17&lt;&gt;""),AVERAGEIFS(Tabla1[Energía],Tabla1[[Nombre]:[Nombre]],$A$5,Tabla1[[Fecha]:[Fecha]],"&lt;="&amp;$A$9,Tabla1[[Fecha]:[Fecha]],"&gt;="&amp;$A$9-$A$17,Tabla1[Energía],"&lt;&gt;""",Tabla1[Equipo],$C$3),
IF(AND($A$13=Ref!$A$3,$A$17=""),AVERAGEIFS(Tabla1[Energía],Tabla1[[Fecha]:[Fecha]],$A$9,Tabla1[Energía],"&lt;&gt;""",Tabla1[Equipo],$C$3),
IF(AND($A$13=Ref!$A$3,$A$17&lt;&gt;""),AVERAGEIFS(Tabla1[Energía],Tabla1[[Fecha]:[Fecha]],"&lt;="&amp;$A$9,Tabla1[[Fecha]:[Fecha]],"&gt;="&amp;$A$9-$A$17,Tabla1[Energía],"&lt;&gt;""",Tabla1[Equipo],$C$3),
IF(AND($A$13=Ref!$A$4,$A$17=""),AVERAGEIFS(Tabla1[Energía],Tabla1[[Fecha]:[Fecha]],$A$9,Tabla1[[Puesto]:[Puesto]],$D$6,Tabla1[Energía],"&lt;&gt;""""",Tabla1[Equipo],$C$3),
IF(AND($A$13=Ref!$A$4,$A$17&lt;&gt;""),AVERAGEIFS(Tabla1[Energía],Tabla1[[Fecha]:[Fecha]],"&lt;="&amp;$A$9,Tabla1[[Fecha]:[Fecha]],"&gt;="&amp;$A$9-$A$17,Tabla1[[Puesto]:[Puesto]],$D$6,Tabla1[Energía],"&lt;&gt;""""",Tabla1[Equipo],$C$3)))))))</f>
        <v>3.5</v>
      </c>
      <c r="F21" s="43">
        <f t="shared" si="0"/>
        <v>-0.42857142857142855</v>
      </c>
      <c r="G21" s="26"/>
      <c r="H21" s="44">
        <f>(D21-E21)/'Respuestas de formulario 1'!W2</f>
        <v>-1.7440769593815608</v>
      </c>
      <c r="I21" s="26"/>
      <c r="J21" s="37"/>
      <c r="K21"/>
      <c r="L21"/>
    </row>
    <row r="22" spans="1:12" ht="20" customHeight="1">
      <c r="A22" s="66"/>
      <c r="B22" s="26"/>
      <c r="C22" s="40" t="s">
        <v>8</v>
      </c>
      <c r="D22" s="41">
        <f>AVERAGEIFS(Tabla1[Fatiga], Tabla1[Nombre], $A$5, Tabla1[Fecha], $A$9)</f>
        <v>2</v>
      </c>
      <c r="E22" s="42">
        <f>IF(AND($A$13=Ref!$A$2,$A$17=""),AVERAGEIFS(Tabla1[Fatiga],Tabla1[[Nombre]:[Nombre]],$A$5,Tabla1[Fatiga],"&lt;&gt;""",Tabla1[Equipo],$C$3),
IF(AND($A$13=Ref!$A$2,$A$17&lt;&gt;""),AVERAGEIFS(Tabla1[Fatiga],Tabla1[[Nombre]:[Nombre]],$A$5,Tabla1[[Fecha]:[Fecha]],"&lt;="&amp;$A$9,Tabla1[[Fecha]:[Fecha]],"&gt;="&amp;$A$9-$A$17,Tabla1[Fatiga],"&lt;&gt;""",Tabla1[Equipo],$C$3),
IF(AND($A$13=Ref!$A$3,$A$17=""),AVERAGEIFS(Tabla1[Fatiga],Tabla1[[Fecha]:[Fecha]],$A$9,Tabla1[Fatiga],"&lt;&gt;""",Tabla1[Equipo],$C$3),
IF(AND($A$13=Ref!$A$3,$A$17&lt;&gt;""),AVERAGEIFS(Tabla1[Fatiga],Tabla1[[Fecha]:[Fecha]],"&lt;="&amp;$A$9,Tabla1[[Fecha]:[Fecha]],"&gt;="&amp;$A$9-$A$17,Tabla1[Fatiga],"&lt;&gt;""",Tabla1[Equipo],$C$3),
IF(AND($A$13=Ref!$A$4,$A$17=""),AVERAGEIFS(Tabla1[Fatiga],Tabla1[[Fecha]:[Fecha]],$A$9,Tabla1[[Puesto]:[Puesto]],$D$6,Tabla1[Fatiga],"&lt;&gt;""""",Tabla1[Equipo],$C$3),
IF(AND($A$13=Ref!$A$4,$A$17&lt;&gt;""),AVERAGEIFS(Tabla1[Fatiga],Tabla1[[Fecha]:[Fecha]],"&lt;="&amp;$A$9,Tabla1[[Fecha]:[Fecha]],"&gt;="&amp;$A$9-$A$17,Tabla1[[Puesto]:[Puesto]],$D$6,Tabla1[Fatiga],"&lt;&gt;""""",Tabla1[Equipo],$C$3)))))))</f>
        <v>2.8333333333333335</v>
      </c>
      <c r="F22" s="43">
        <f t="shared" si="0"/>
        <v>-0.29411764705882354</v>
      </c>
      <c r="G22" s="62"/>
      <c r="H22" s="44">
        <f>(D22-E22)/'Respuestas de formulario 1'!Y2</f>
        <v>-0.99761859660716301</v>
      </c>
      <c r="I22" s="26"/>
      <c r="J22" s="37"/>
      <c r="K22"/>
      <c r="L22"/>
    </row>
    <row r="23" spans="1:12" ht="20" customHeight="1">
      <c r="A23" s="67" t="s">
        <v>81</v>
      </c>
      <c r="B23" s="26"/>
      <c r="C23" s="40" t="s">
        <v>9</v>
      </c>
      <c r="D23" s="41">
        <f>AVERAGEIFS(Tabla1[General], Tabla1[Nombre], $A$5, Tabla1[Fecha], $A$9)</f>
        <v>3</v>
      </c>
      <c r="E23" s="42">
        <f>IF(AND($A$13=Ref!$A$2,$A$17=""),AVERAGEIFS(Tabla1[General],Tabla1[[Nombre]:[Nombre]],$A$5,Tabla1[General],"&lt;&gt;""",Tabla1[Equipo],$C$3),
IF(AND($A$13=Ref!$A$2,$A$17&lt;&gt;""),AVERAGEIFS(Tabla1[General],Tabla1[[Nombre]:[Nombre]],$A$5,Tabla1[[Fecha]:[Fecha]],"&lt;="&amp;$A$9,Tabla1[[Fecha]:[Fecha]],"&gt;="&amp;$A$9-$A$17,Tabla1[General],"&lt;&gt;""",Tabla1[Equipo],$C$3),
IF(AND($A$13=Ref!$A$3,$A$17=""),AVERAGEIFS(Tabla1[General],Tabla1[[Fecha]:[Fecha]],$A$9,Tabla1[General],"&lt;&gt;""",Tabla1[Equipo],$C$3),
IF(AND($A$13=Ref!$A$3,$A$17&lt;&gt;""),AVERAGEIFS(Tabla1[General],Tabla1[[Fecha]:[Fecha]],"&lt;="&amp;$A$9,Tabla1[[Fecha]:[Fecha]],"&gt;="&amp;$A$9-$A$17,Tabla1[General],"&lt;&gt;""",Tabla1[Equipo],$C$3),
IF(AND($A$13=Ref!$A$4,$A$17=""),AVERAGEIFS(Tabla1[General],Tabla1[[Fecha]:[Fecha]],$A$9,Tabla1[[Puesto]:[Puesto]],$D$6,Tabla1[General],"&lt;&gt;""""",Tabla1[Equipo],$C$3),
IF(AND($A$13=Ref!$A$4,$A$17&lt;&gt;""),AVERAGEIFS(Tabla1[General],Tabla1[[Fecha]:[Fecha]],"&lt;="&amp;$A$9,Tabla1[[Fecha]:[Fecha]],"&gt;="&amp;$A$9-$A$17,Tabla1[[Puesto]:[Puesto]],$D$6,Tabla1[General],"&lt;&gt;""""",Tabla1[Equipo],$C$3)))))))</f>
        <v>3.6666666666666665</v>
      </c>
      <c r="F23" s="43">
        <f t="shared" si="0"/>
        <v>-0.1818181818181818</v>
      </c>
      <c r="G23" s="62"/>
      <c r="H23" s="44">
        <f>(D23-E23)/'Respuestas de formulario 1'!AA2</f>
        <v>-0.84227403128754474</v>
      </c>
      <c r="I23" s="26"/>
      <c r="J23" s="37"/>
      <c r="K23"/>
      <c r="L23"/>
    </row>
    <row r="24" spans="1:12" ht="20" customHeight="1">
      <c r="A24" s="67"/>
      <c r="B24" s="26"/>
      <c r="C24" s="62"/>
      <c r="D24" s="62"/>
      <c r="E24" s="62"/>
      <c r="F24" s="62"/>
      <c r="G24" s="62"/>
      <c r="H24" s="62"/>
      <c r="I24" s="62"/>
      <c r="J24" s="62"/>
      <c r="K24"/>
      <c r="L24" s="17" t="s">
        <v>48</v>
      </c>
    </row>
    <row r="25" spans="1:12" ht="20" customHeight="1">
      <c r="A25" s="69">
        <v>44406</v>
      </c>
      <c r="B25" s="26"/>
      <c r="C25" s="68" t="str">
        <f>$A$21 &amp; " En El Tiempo"</f>
        <v>Readiness En El Tiempo</v>
      </c>
      <c r="D25" s="68"/>
      <c r="E25" s="68"/>
      <c r="F25" s="68"/>
      <c r="G25" s="68"/>
      <c r="H25" s="68"/>
      <c r="I25" s="68"/>
      <c r="J25" s="68"/>
      <c r="K25"/>
    </row>
    <row r="26" spans="1:12" ht="20" customHeight="1">
      <c r="A26" s="69"/>
      <c r="B26" s="26"/>
      <c r="C26" s="37"/>
      <c r="D26" s="64" t="str">
        <f>A21</f>
        <v>Readiness</v>
      </c>
      <c r="E26" s="37"/>
      <c r="F26" s="37"/>
      <c r="G26" s="37"/>
      <c r="H26" s="37"/>
      <c r="I26" s="73"/>
      <c r="J26" s="73" t="s">
        <v>78</v>
      </c>
      <c r="K26"/>
    </row>
    <row r="27" spans="1:12" ht="20" customHeight="1">
      <c r="A27" s="67" t="s">
        <v>19</v>
      </c>
      <c r="B27" s="26"/>
      <c r="C27" s="37"/>
      <c r="D27" s="64" t="str">
        <f>"Media Móvil "&amp;A21&amp;" De Los Últimos "&amp;A29&amp; " Días"</f>
        <v>Media Móvil Readiness De Los Últimos 7 Días</v>
      </c>
      <c r="E27" s="37"/>
      <c r="F27" s="37"/>
      <c r="G27" s="37"/>
      <c r="H27" s="37"/>
      <c r="I27" s="74"/>
      <c r="J27" s="74"/>
      <c r="K27"/>
    </row>
    <row r="28" spans="1:12" ht="20" customHeight="1">
      <c r="A28" s="67"/>
      <c r="B28" s="26"/>
      <c r="C28" s="37"/>
      <c r="D28" s="37"/>
      <c r="E28" s="37"/>
      <c r="F28" s="37"/>
      <c r="G28" s="37"/>
      <c r="H28" s="37"/>
      <c r="I28" s="74"/>
      <c r="J28" s="74"/>
      <c r="K28"/>
    </row>
    <row r="29" spans="1:12" ht="20" customHeight="1">
      <c r="A29" s="66">
        <v>7</v>
      </c>
      <c r="B29" s="26"/>
      <c r="C29" s="37"/>
      <c r="D29" s="37"/>
      <c r="E29" s="37"/>
      <c r="F29" s="37"/>
      <c r="G29" s="37"/>
      <c r="H29" s="37"/>
      <c r="I29" s="37"/>
      <c r="J29" s="37"/>
      <c r="K29"/>
    </row>
    <row r="30" spans="1:12" ht="20" customHeight="1">
      <c r="A30" s="66"/>
      <c r="B30" s="26"/>
      <c r="C30" s="37"/>
      <c r="D30" s="37"/>
      <c r="E30" s="37"/>
      <c r="F30" s="37"/>
      <c r="G30" s="37"/>
      <c r="H30" s="37"/>
      <c r="I30" s="37"/>
      <c r="J30" s="37"/>
      <c r="K30"/>
    </row>
    <row r="31" spans="1:12" ht="20" customHeight="1">
      <c r="A31" s="60"/>
      <c r="B31" s="26"/>
      <c r="C31" s="37"/>
      <c r="D31" s="37"/>
      <c r="E31" s="37"/>
      <c r="F31" s="37"/>
      <c r="G31" s="37"/>
      <c r="H31" s="37"/>
      <c r="I31" s="37"/>
      <c r="J31" s="37"/>
      <c r="K31"/>
    </row>
    <row r="32" spans="1:12" ht="15.75" customHeight="1">
      <c r="A32" s="60"/>
      <c r="B32" s="26"/>
      <c r="C32" s="37"/>
      <c r="D32" s="37"/>
      <c r="E32" s="37"/>
      <c r="F32" s="37"/>
      <c r="G32" s="37"/>
      <c r="H32" s="37"/>
      <c r="I32" s="37"/>
      <c r="J32" s="37"/>
      <c r="K32"/>
    </row>
    <row r="33" spans="1:11" ht="15.75" customHeight="1">
      <c r="A33" s="60"/>
      <c r="B33" s="26"/>
      <c r="C33" s="37"/>
      <c r="D33" s="37"/>
      <c r="E33" s="37"/>
      <c r="F33" s="37"/>
      <c r="G33" s="37"/>
      <c r="H33" s="37"/>
      <c r="I33" s="37"/>
      <c r="J33" s="37"/>
      <c r="K33"/>
    </row>
    <row r="34" spans="1:11" ht="15.75" customHeight="1">
      <c r="A34" s="60"/>
      <c r="B34" s="26"/>
      <c r="C34" s="37"/>
      <c r="D34" s="37"/>
      <c r="E34" s="37"/>
      <c r="F34" s="37"/>
      <c r="G34" s="37"/>
      <c r="H34" s="37"/>
      <c r="I34" s="37"/>
      <c r="J34" s="37"/>
      <c r="K34"/>
    </row>
    <row r="35" spans="1:11" ht="15.75" customHeight="1">
      <c r="A35" s="60"/>
      <c r="B35" s="26"/>
      <c r="C35" s="37"/>
      <c r="D35" s="37"/>
      <c r="E35" s="37"/>
      <c r="F35" s="37"/>
      <c r="G35" s="37"/>
      <c r="H35" s="37"/>
      <c r="I35" s="37"/>
      <c r="J35" s="37"/>
      <c r="K35"/>
    </row>
    <row r="36" spans="1:11" ht="15.75" customHeight="1">
      <c r="A36" s="46"/>
      <c r="B36" s="26"/>
      <c r="C36" s="37"/>
      <c r="D36" s="37"/>
      <c r="E36" s="37"/>
      <c r="F36" s="37"/>
      <c r="G36" s="37"/>
      <c r="H36" s="37"/>
      <c r="I36" s="37"/>
      <c r="J36" s="37"/>
      <c r="K36"/>
    </row>
    <row r="37" spans="1:11" ht="15.75" customHeight="1">
      <c r="A37" s="46"/>
      <c r="B37" s="26"/>
      <c r="C37" s="37"/>
      <c r="D37" s="37"/>
      <c r="E37" s="37"/>
      <c r="F37" s="37"/>
      <c r="G37" s="37"/>
      <c r="H37" s="37"/>
      <c r="I37" s="37"/>
      <c r="J37" s="37"/>
      <c r="K37"/>
    </row>
    <row r="38" spans="1:11" ht="15.75" customHeight="1">
      <c r="A38" s="46"/>
      <c r="B38" s="26"/>
      <c r="C38" s="37"/>
      <c r="D38" s="37"/>
      <c r="E38" s="37"/>
      <c r="F38" s="37"/>
      <c r="G38" s="37"/>
      <c r="H38" s="37"/>
      <c r="I38" s="37"/>
      <c r="J38" s="37"/>
      <c r="K38"/>
    </row>
    <row r="39" spans="1:11" ht="15.75" customHeight="1">
      <c r="A39" s="46"/>
      <c r="B39" s="26"/>
      <c r="C39" s="37"/>
      <c r="D39" s="37"/>
      <c r="E39" s="37"/>
      <c r="F39" s="37"/>
      <c r="G39" s="37"/>
      <c r="H39" s="37"/>
      <c r="I39" s="37"/>
      <c r="J39" s="37"/>
      <c r="K39"/>
    </row>
    <row r="40" spans="1:11" ht="15.75" customHeight="1">
      <c r="A40" s="46"/>
      <c r="C40" s="37"/>
      <c r="D40" s="37"/>
      <c r="E40" s="37"/>
      <c r="F40" s="37"/>
      <c r="G40" s="37"/>
      <c r="H40" s="37"/>
      <c r="I40" s="37"/>
      <c r="J40" s="37"/>
      <c r="K40"/>
    </row>
    <row r="41" spans="1:11" ht="15.75" customHeight="1">
      <c r="A41" s="46"/>
      <c r="C41" s="37"/>
      <c r="D41" s="37"/>
      <c r="E41" s="37"/>
      <c r="F41" s="37"/>
      <c r="G41" s="37"/>
      <c r="H41" s="37"/>
      <c r="I41" s="37"/>
      <c r="J41" s="37"/>
    </row>
    <row r="42" spans="1:11" ht="15.75" customHeight="1">
      <c r="A42" s="46"/>
      <c r="C42" s="26"/>
      <c r="D42" s="26"/>
      <c r="E42" s="26"/>
      <c r="F42" s="26"/>
      <c r="G42" s="26"/>
      <c r="H42" s="26"/>
      <c r="I42" s="26"/>
      <c r="J42" s="26"/>
    </row>
  </sheetData>
  <mergeCells count="23">
    <mergeCell ref="C1:J1"/>
    <mergeCell ref="H4:J4"/>
    <mergeCell ref="C12:J12"/>
    <mergeCell ref="C13:J15"/>
    <mergeCell ref="I26:I28"/>
    <mergeCell ref="J26:J28"/>
    <mergeCell ref="C3:J3"/>
    <mergeCell ref="A29:A30"/>
    <mergeCell ref="A23:A24"/>
    <mergeCell ref="C4:F4"/>
    <mergeCell ref="C25:J25"/>
    <mergeCell ref="A3:A4"/>
    <mergeCell ref="A5:A6"/>
    <mergeCell ref="A7:A8"/>
    <mergeCell ref="A9:A10"/>
    <mergeCell ref="A11:A12"/>
    <mergeCell ref="A13:A14"/>
    <mergeCell ref="A25:A26"/>
    <mergeCell ref="A27:A28"/>
    <mergeCell ref="A15:A16"/>
    <mergeCell ref="A17:A18"/>
    <mergeCell ref="A19:A20"/>
    <mergeCell ref="A21:A22"/>
  </mergeCells>
  <conditionalFormatting sqref="C17 H2">
    <cfRule type="colorScale" priority="9">
      <colorScale>
        <cfvo type="formula" val="6"/>
        <cfvo type="formula" val="18"/>
        <cfvo type="formula" val="30"/>
        <color rgb="FFEA4335"/>
        <color rgb="FFFFE599"/>
        <color rgb="FF00FF00"/>
      </colorScale>
    </cfRule>
  </conditionalFormatting>
  <conditionalFormatting sqref="F17:F23">
    <cfRule type="dataBar" priority="5">
      <dataBar>
        <cfvo type="num" val="-1"/>
        <cfvo type="num" val="1"/>
        <color rgb="FF00B050"/>
      </dataBar>
      <extLst>
        <ext xmlns:x14="http://schemas.microsoft.com/office/spreadsheetml/2009/9/main" uri="{B025F937-C7B1-47D3-B67F-A62EFF666E3E}">
          <x14:id>{2304942A-5709-FF42-A663-DCCD4753F12A}</x14:id>
        </ext>
      </extLst>
    </cfRule>
  </conditionalFormatting>
  <conditionalFormatting sqref="H17:H23">
    <cfRule type="cellIs" dxfId="6" priority="1" operator="lessThan">
      <formula>-1.5</formula>
    </cfRule>
    <cfRule type="cellIs" dxfId="5" priority="2" operator="greaterThan">
      <formula>1.5</formula>
    </cfRule>
    <cfRule type="iconSet" priority="4">
      <iconSet iconSet="5Arrows" showValue="0">
        <cfvo type="percent" val="0"/>
        <cfvo type="num" val="-2"/>
        <cfvo type="num" val="-1"/>
        <cfvo type="num" val="1"/>
        <cfvo type="num" val="2"/>
      </iconSet>
    </cfRule>
  </conditionalFormatting>
  <conditionalFormatting sqref="I10">
    <cfRule type="colorScale" priority="3">
      <colorScale>
        <cfvo type="num" val="0.25"/>
        <cfvo type="num" val="0.5"/>
        <cfvo type="num" val="0.75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65" orientation="portrait" horizontalDpi="0" verticalDpi="0"/>
  <colBreaks count="1" manualBreakCount="1">
    <brk id="10" max="1048575" man="1"/>
  </colBreaks>
  <drawing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304942A-5709-FF42-A663-DCCD4753F12A}">
            <x14:dataBar minLength="0" maxLength="100" axisPosition="middle">
              <x14:cfvo type="num">
                <xm:f>-1</xm:f>
              </x14:cfvo>
              <x14:cfvo type="num">
                <xm:f>1</xm:f>
              </x14:cfvo>
              <x14:negativeFillColor rgb="FFFF0000"/>
              <x14:axisColor theme="3" tint="0.34998626667073579"/>
            </x14:dataBar>
          </x14:cfRule>
          <xm:sqref>F17:F23</xm:sqref>
        </x14:conditionalFormatting>
        <x14:conditionalFormatting xmlns:xm="http://schemas.microsoft.com/office/excel/2006/main">
          <x14:cfRule type="iconSet" priority="6" id="{00000000-000E-0000-0100-000001000000}">
            <x14:iconSet showValue="0" custom="1">
              <x14:cfvo type="percent">
                <xm:f>0</xm:f>
              </x14:cfvo>
              <x14:cfvo type="num">
                <xm:f>2</xm:f>
              </x14:cfvo>
              <x14:cfvo type="num">
                <xm:f>3</xm:f>
              </x14:cfvo>
              <x14:cfIcon iconSet="3TrafficLights1" iconId="2"/>
              <x14:cfIcon iconSet="3TrafficLights1" iconId="1"/>
              <x14:cfIcon iconSet="3TrafficLights1" iconId="0"/>
            </x14:iconSet>
          </x14:cfRule>
          <xm:sqref>D9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B9A122DD-0122-0342-878E-65E1013F2FBF}">
          <x14:formula1>
            <xm:f>Ref!$C$2:$C$8</xm:f>
          </x14:formula1>
          <xm:sqref>A21</xm:sqref>
        </x14:dataValidation>
        <x14:dataValidation type="list" allowBlank="1" showInputMessage="1" showErrorMessage="1" xr:uid="{EFA4E5BF-7384-8348-A210-99034EB0C7C9}">
          <x14:formula1>
            <xm:f>OFFSET('Perfil Jugadores'!$A$2,0,0,COUNTA('Perfil Jugadores'!$A:$A)-1)</xm:f>
          </x14:formula1>
          <xm:sqref>A5</xm:sqref>
        </x14:dataValidation>
        <x14:dataValidation type="list" allowBlank="1" showInputMessage="1" showErrorMessage="1" xr:uid="{05769C1F-E400-D740-855F-711D276F575D}">
          <x14:formula1>
            <xm:f>OFFSET(Ref!$A$2,0,0,COUNTA(Ref!$A:$A)-1)</xm:f>
          </x14:formula1>
          <xm:sqref>A13</xm:sqref>
        </x14:dataValidation>
        <x14:dataValidation type="list" allowBlank="1" showInputMessage="1" showErrorMessage="1" xr:uid="{5D50CC64-3EEC-6147-AD41-E814863FECB0}">
          <x14:formula1>
            <xm:f>OFFSET('Respuestas de formulario 1'!$B$2,0,0,COUNTA('Respuestas de formulario 1'!$B:$B)-1)</xm:f>
          </x14:formula1>
          <xm:sqref>A9 A25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41831F-C931-F04B-AD12-567A7F6683E1}">
  <dimension ref="A1:F15"/>
  <sheetViews>
    <sheetView workbookViewId="0">
      <selection activeCell="F30" sqref="F30"/>
    </sheetView>
  </sheetViews>
  <sheetFormatPr baseColWidth="10" defaultRowHeight="13"/>
  <cols>
    <col min="1" max="2" width="14.83203125" style="50" customWidth="1"/>
  </cols>
  <sheetData>
    <row r="1" spans="1:6">
      <c r="A1" s="51" t="s">
        <v>15</v>
      </c>
      <c r="B1" s="51" t="s">
        <v>77</v>
      </c>
      <c r="C1" s="22" t="s">
        <v>21</v>
      </c>
      <c r="D1" s="22" t="s">
        <v>53</v>
      </c>
      <c r="E1" s="22" t="s">
        <v>49</v>
      </c>
      <c r="F1" s="22" t="s">
        <v>50</v>
      </c>
    </row>
    <row r="2" spans="1:6">
      <c r="A2" s="51" t="s">
        <v>57</v>
      </c>
      <c r="B2" s="51" t="s">
        <v>82</v>
      </c>
      <c r="C2" s="22" t="s">
        <v>51</v>
      </c>
      <c r="D2" s="22" t="s">
        <v>54</v>
      </c>
      <c r="E2">
        <v>160</v>
      </c>
      <c r="F2">
        <v>60</v>
      </c>
    </row>
    <row r="3" spans="1:6">
      <c r="A3" s="51" t="s">
        <v>58</v>
      </c>
      <c r="B3" s="51" t="s">
        <v>83</v>
      </c>
      <c r="C3" s="22" t="s">
        <v>51</v>
      </c>
      <c r="D3" s="22" t="s">
        <v>54</v>
      </c>
      <c r="E3">
        <v>175</v>
      </c>
      <c r="F3">
        <v>66</v>
      </c>
    </row>
    <row r="4" spans="1:6">
      <c r="A4" s="51" t="s">
        <v>59</v>
      </c>
      <c r="B4" s="51" t="s">
        <v>82</v>
      </c>
      <c r="C4" s="22" t="s">
        <v>51</v>
      </c>
      <c r="D4" s="22" t="s">
        <v>61</v>
      </c>
      <c r="E4">
        <v>180</v>
      </c>
      <c r="F4">
        <v>76</v>
      </c>
    </row>
    <row r="5" spans="1:6">
      <c r="A5" s="51" t="s">
        <v>60</v>
      </c>
      <c r="B5" s="51" t="s">
        <v>83</v>
      </c>
      <c r="C5" s="22" t="s">
        <v>51</v>
      </c>
      <c r="D5" s="22" t="s">
        <v>61</v>
      </c>
      <c r="E5">
        <v>177</v>
      </c>
      <c r="F5">
        <v>69</v>
      </c>
    </row>
    <row r="6" spans="1:6">
      <c r="A6" s="51"/>
      <c r="B6" s="51"/>
      <c r="C6" s="22"/>
      <c r="D6" s="22"/>
    </row>
    <row r="7" spans="1:6">
      <c r="A7" s="51"/>
      <c r="B7" s="51"/>
      <c r="C7" s="22"/>
      <c r="D7" s="22"/>
    </row>
    <row r="8" spans="1:6">
      <c r="A8" s="51"/>
      <c r="B8" s="51"/>
      <c r="C8" s="22"/>
      <c r="D8" s="22"/>
    </row>
    <row r="9" spans="1:6">
      <c r="A9" s="51"/>
      <c r="B9" s="51"/>
      <c r="C9" s="22"/>
      <c r="D9" s="22"/>
    </row>
    <row r="10" spans="1:6">
      <c r="A10" s="51"/>
      <c r="B10" s="51"/>
      <c r="C10" s="22"/>
      <c r="D10" s="22"/>
    </row>
    <row r="11" spans="1:6">
      <c r="A11" s="51"/>
      <c r="B11" s="51"/>
      <c r="C11" s="22"/>
      <c r="D11" s="22"/>
    </row>
    <row r="12" spans="1:6">
      <c r="A12" s="51"/>
      <c r="B12" s="51"/>
      <c r="C12" s="22"/>
      <c r="D12" s="22"/>
    </row>
    <row r="13" spans="1:6">
      <c r="A13" s="51"/>
      <c r="B13" s="51"/>
      <c r="C13" s="22"/>
      <c r="D13" s="22"/>
    </row>
    <row r="14" spans="1:6">
      <c r="A14" s="51"/>
      <c r="B14" s="51"/>
      <c r="C14" s="22"/>
      <c r="D14" s="22"/>
    </row>
    <row r="15" spans="1:6">
      <c r="A15" s="51"/>
      <c r="B15" s="51"/>
      <c r="C15" s="22"/>
      <c r="D15" s="22"/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T24"/>
  <sheetViews>
    <sheetView topLeftCell="G1" workbookViewId="0">
      <selection activeCell="Q30" sqref="Q30"/>
    </sheetView>
  </sheetViews>
  <sheetFormatPr baseColWidth="10" defaultColWidth="14.5" defaultRowHeight="15.75" customHeight="1"/>
  <cols>
    <col min="3" max="4" width="18.5" customWidth="1"/>
    <col min="5" max="5" width="22" bestFit="1" customWidth="1"/>
    <col min="19" max="19" width="62.1640625" bestFit="1" customWidth="1"/>
  </cols>
  <sheetData>
    <row r="1" spans="1:20" ht="15.75" customHeight="1">
      <c r="A1" t="s">
        <v>13</v>
      </c>
      <c r="C1" t="s">
        <v>17</v>
      </c>
      <c r="E1" t="s">
        <v>18</v>
      </c>
      <c r="Q1" t="s">
        <v>66</v>
      </c>
    </row>
    <row r="2" spans="1:20" ht="15.75" customHeight="1">
      <c r="A2" t="s">
        <v>14</v>
      </c>
      <c r="C2" s="2" t="s">
        <v>5</v>
      </c>
      <c r="D2" s="2"/>
      <c r="F2" s="11">
        <f>IF(OR(_xlfn.MINIFS(Tabla1[Fecha],Tabla1[Nombre],Dashboard!$A$5)=Ref!G2,Ref!G2=""),"",_xlfn.MAXIFS(Tabla1[Fecha],Tabla1[Nombre],Dashboard!$A$5,Tabla1[Fecha],"&lt;"&amp;Ref!G2))</f>
        <v>44393</v>
      </c>
      <c r="G2" s="11">
        <f>IF(OR(_xlfn.MINIFS(Tabla1[Fecha],Tabla1[Nombre],Dashboard!$A$5)=Ref!H2,Ref!H2=""),"",_xlfn.MAXIFS(Tabla1[Fecha],Tabla1[Nombre],Dashboard!$A$5,Tabla1[Fecha],"&lt;"&amp;Ref!H2))</f>
        <v>44396</v>
      </c>
      <c r="H2" s="11">
        <f>IF(OR(_xlfn.MINIFS(Tabla1[Fecha],Tabla1[Nombre],Dashboard!$A$5)=Ref!I2,Ref!I2=""),"",_xlfn.MAXIFS(Tabla1[Fecha],Tabla1[Nombre],Dashboard!$A$5,Tabla1[Fecha],"&lt;"&amp;Ref!I2))</f>
        <v>44397</v>
      </c>
      <c r="I2" s="11">
        <f>IF(OR(_xlfn.MINIFS(Tabla1[Fecha],Tabla1[Nombre],Dashboard!$A$5)=Ref!J2,Ref!J2=""),"",_xlfn.MAXIFS(Tabla1[Fecha],Tabla1[Nombre],Dashboard!$A$5,Tabla1[Fecha],"&lt;"&amp;Ref!J2))</f>
        <v>44398</v>
      </c>
      <c r="J2" s="11">
        <f>IF(OR(_xlfn.MINIFS(Tabla1[Fecha],Tabla1[Nombre],Dashboard!$A$5)=Ref!K2,Ref!K2=""),"",_xlfn.MAXIFS(Tabla1[Fecha],Tabla1[Nombre],Dashboard!$A$5,Tabla1[Fecha],"&lt;"&amp;Ref!K2))</f>
        <v>44399</v>
      </c>
      <c r="K2" s="11">
        <f>IF(OR(_xlfn.MINIFS(Tabla1[Fecha],Tabla1[Nombre],Dashboard!$A$5)=Ref!L2,Ref!L2=""),"",_xlfn.MAXIFS(Tabla1[Fecha],Tabla1[Nombre],Dashboard!$A$5,Tabla1[Fecha],"&lt;"&amp;Ref!L2))</f>
        <v>44400</v>
      </c>
      <c r="L2" s="11">
        <f>IF(OR(_xlfn.MINIFS(Tabla1[Fecha],Tabla1[Nombre],Dashboard!$A$5)=Ref!M2,Ref!M2=""),"",_xlfn.MAXIFS(Tabla1[Fecha],Tabla1[Nombre],Dashboard!$A$5,Tabla1[Fecha],"&lt;"&amp;Ref!M2))</f>
        <v>44401</v>
      </c>
      <c r="M2" s="11">
        <f>IF(OR(_xlfn.MINIFS(Tabla1[Fecha],Tabla1[Nombre],Dashboard!$A$5)=Ref!N2,Ref!N2=""),"",_xlfn.MAXIFS(Tabla1[Fecha],Tabla1[Nombre],Dashboard!$A$5,Tabla1[Fecha],"&lt;"&amp;Ref!N2))</f>
        <v>44403</v>
      </c>
      <c r="N2" s="11">
        <f>IF(OR(_xlfn.MINIFS(Tabla1[Fecha],Tabla1[Nombre],Dashboard!$A$5)=Ref!O2,Ref!O2=""),"",_xlfn.MAXIFS(Tabla1[Fecha],Tabla1[Nombre],Dashboard!$A$5,Tabla1[Fecha],"&lt;"&amp;Ref!O2))</f>
        <v>44405</v>
      </c>
      <c r="O2" s="11">
        <f>Dashboard!$A$25</f>
        <v>44406</v>
      </c>
    </row>
    <row r="3" spans="1:20" ht="15.75" customHeight="1">
      <c r="A3" s="22" t="s">
        <v>21</v>
      </c>
      <c r="C3" s="2" t="s">
        <v>11</v>
      </c>
      <c r="D3" s="2"/>
      <c r="E3" t="s">
        <v>20</v>
      </c>
      <c r="F3">
        <f>IF($C$2=Dashboard!$A$21,AVERAGEIFS(Tabla1[Estrés],Tabla1[Nombre],Dashboard!$A$5,Tabla1[Estrés],"&lt;&gt;""",Tabla1[Fecha],F$2),
IF($C$3=Dashboard!$A$21,AVERAGEIFS(Tabla1[Sueño],Tabla1[Nombre],Dashboard!$A$5,Tabla1[Estrés],"&lt;&gt;""",Tabla1[Fecha],F$2),
IF($C$4=Dashboard!$A$21,AVERAGEIFS(Tabla1[DOMS],Tabla1[Nombre],Dashboard!$A$5,Tabla1[Estrés],"&lt;&gt;""",Tabla1[Fecha],F$2),
IF($C$5=Dashboard!$A$21,AVERAGEIFS(Tabla1[Energía],Tabla1[Nombre],Dashboard!$A$5,Tabla1[Estrés],"&lt;&gt;""",Tabla1[Fecha],F$2),
IF($C$6=Dashboard!$A$21,AVERAGEIFS(Tabla1[Fatiga],Tabla1[Nombre],Dashboard!$A$5,Tabla1[Estrés],"&lt;&gt;""",Tabla1[Fecha],F$2),
IF($C$7=Dashboard!$A$21,AVERAGEIFS(Tabla1[General],Tabla1[Nombre],Dashboard!$A$5,Tabla1[Estrés],"&lt;&gt;""",Tabla1[Fecha],F$2),
IF($C$8=Dashboard!$A$21,AVERAGEIFS(Tabla1[Readiness],Tabla1[Nombre],Dashboard!$A$5,Tabla1[Estrés],"&lt;&gt;""",Tabla1[Fecha],F$2))))))))</f>
        <v>22</v>
      </c>
      <c r="G3">
        <f>IF($C$2=Dashboard!$A$21,AVERAGEIFS(Tabla1[Estrés],Tabla1[Nombre],Dashboard!$A$5,Tabla1[Estrés],"&lt;&gt;""",Tabla1[Fecha],G$2),
IF($C$3=Dashboard!$A$21,AVERAGEIFS(Tabla1[Sueño],Tabla1[Nombre],Dashboard!$A$5,Tabla1[Estrés],"&lt;&gt;""",Tabla1[Fecha],G$2),
IF($C$4=Dashboard!$A$21,AVERAGEIFS(Tabla1[DOMS],Tabla1[Nombre],Dashboard!$A$5,Tabla1[Estrés],"&lt;&gt;""",Tabla1[Fecha],G$2),
IF($C$5=Dashboard!$A$21,AVERAGEIFS(Tabla1[Energía],Tabla1[Nombre],Dashboard!$A$5,Tabla1[Estrés],"&lt;&gt;""",Tabla1[Fecha],G$2),
IF($C$6=Dashboard!$A$21,AVERAGEIFS(Tabla1[Fatiga],Tabla1[Nombre],Dashboard!$A$5,Tabla1[Estrés],"&lt;&gt;""",Tabla1[Fecha],G$2),
IF($C$7=Dashboard!$A$21,AVERAGEIFS(Tabla1[General],Tabla1[Nombre],Dashboard!$A$5,Tabla1[Estrés],"&lt;&gt;""",Tabla1[Fecha],G$2),
IF($C$8=Dashboard!$A$21,AVERAGEIFS(Tabla1[Readiness],Tabla1[Nombre],Dashboard!$A$5,Tabla1[Estrés],"&lt;&gt;""",Tabla1[Fecha],G$2))))))))</f>
        <v>23</v>
      </c>
      <c r="H3">
        <f>IF($C$2=Dashboard!$A$21,AVERAGEIFS(Tabla1[Estrés],Tabla1[Nombre],Dashboard!$A$5,Tabla1[Estrés],"&lt;&gt;""",Tabla1[Fecha],H$2),
IF($C$3=Dashboard!$A$21,AVERAGEIFS(Tabla1[Sueño],Tabla1[Nombre],Dashboard!$A$5,Tabla1[Estrés],"&lt;&gt;""",Tabla1[Fecha],H$2),
IF($C$4=Dashboard!$A$21,AVERAGEIFS(Tabla1[DOMS],Tabla1[Nombre],Dashboard!$A$5,Tabla1[Estrés],"&lt;&gt;""",Tabla1[Fecha],H$2),
IF($C$5=Dashboard!$A$21,AVERAGEIFS(Tabla1[Energía],Tabla1[Nombre],Dashboard!$A$5,Tabla1[Estrés],"&lt;&gt;""",Tabla1[Fecha],H$2),
IF($C$6=Dashboard!$A$21,AVERAGEIFS(Tabla1[Fatiga],Tabla1[Nombre],Dashboard!$A$5,Tabla1[Estrés],"&lt;&gt;""",Tabla1[Fecha],H$2),
IF($C$7=Dashboard!$A$21,AVERAGEIFS(Tabla1[General],Tabla1[Nombre],Dashboard!$A$5,Tabla1[Estrés],"&lt;&gt;""",Tabla1[Fecha],H$2),
IF($C$8=Dashboard!$A$21,AVERAGEIFS(Tabla1[Readiness],Tabla1[Nombre],Dashboard!$A$5,Tabla1[Estrés],"&lt;&gt;""",Tabla1[Fecha],H$2))))))))</f>
        <v>21</v>
      </c>
      <c r="I3">
        <f>IF($C$2=Dashboard!$A$21,AVERAGEIFS(Tabla1[Estrés],Tabla1[Nombre],Dashboard!$A$5,Tabla1[Estrés],"&lt;&gt;""",Tabla1[Fecha],I$2),
IF($C$3=Dashboard!$A$21,AVERAGEIFS(Tabla1[Sueño],Tabla1[Nombre],Dashboard!$A$5,Tabla1[Estrés],"&lt;&gt;""",Tabla1[Fecha],I$2),
IF($C$4=Dashboard!$A$21,AVERAGEIFS(Tabla1[DOMS],Tabla1[Nombre],Dashboard!$A$5,Tabla1[Estrés],"&lt;&gt;""",Tabla1[Fecha],I$2),
IF($C$5=Dashboard!$A$21,AVERAGEIFS(Tabla1[Energía],Tabla1[Nombre],Dashboard!$A$5,Tabla1[Estrés],"&lt;&gt;""",Tabla1[Fecha],I$2),
IF($C$6=Dashboard!$A$21,AVERAGEIFS(Tabla1[Fatiga],Tabla1[Nombre],Dashboard!$A$5,Tabla1[Estrés],"&lt;&gt;""",Tabla1[Fecha],I$2),
IF($C$7=Dashboard!$A$21,AVERAGEIFS(Tabla1[General],Tabla1[Nombre],Dashboard!$A$5,Tabla1[Estrés],"&lt;&gt;""",Tabla1[Fecha],I$2),
IF($C$8=Dashboard!$A$21,AVERAGEIFS(Tabla1[Readiness],Tabla1[Nombre],Dashboard!$A$5,Tabla1[Estrés],"&lt;&gt;""",Tabla1[Fecha],I$2))))))))</f>
        <v>22</v>
      </c>
      <c r="J3">
        <f>IF($C$2=Dashboard!$A$21,AVERAGEIFS(Tabla1[Estrés],Tabla1[Nombre],Dashboard!$A$5,Tabla1[Estrés],"&lt;&gt;""",Tabla1[Fecha],J$2),
IF($C$3=Dashboard!$A$21,AVERAGEIFS(Tabla1[Sueño],Tabla1[Nombre],Dashboard!$A$5,Tabla1[Estrés],"&lt;&gt;""",Tabla1[Fecha],J$2),
IF($C$4=Dashboard!$A$21,AVERAGEIFS(Tabla1[DOMS],Tabla1[Nombre],Dashboard!$A$5,Tabla1[Estrés],"&lt;&gt;""",Tabla1[Fecha],J$2),
IF($C$5=Dashboard!$A$21,AVERAGEIFS(Tabla1[Energía],Tabla1[Nombre],Dashboard!$A$5,Tabla1[Estrés],"&lt;&gt;""",Tabla1[Fecha],J$2),
IF($C$6=Dashboard!$A$21,AVERAGEIFS(Tabla1[Fatiga],Tabla1[Nombre],Dashboard!$A$5,Tabla1[Estrés],"&lt;&gt;""",Tabla1[Fecha],J$2),
IF($C$7=Dashboard!$A$21,AVERAGEIFS(Tabla1[General],Tabla1[Nombre],Dashboard!$A$5,Tabla1[Estrés],"&lt;&gt;""",Tabla1[Fecha],J$2),
IF($C$8=Dashboard!$A$21,AVERAGEIFS(Tabla1[Readiness],Tabla1[Nombre],Dashboard!$A$5,Tabla1[Estrés],"&lt;&gt;""",Tabla1[Fecha],J$2))))))))</f>
        <v>17</v>
      </c>
      <c r="K3">
        <f>IF($C$2=Dashboard!$A$21,AVERAGEIFS(Tabla1[Estrés],Tabla1[Nombre],Dashboard!$A$5,Tabla1[Estrés],"&lt;&gt;""",Tabla1[Fecha],K$2),
IF($C$3=Dashboard!$A$21,AVERAGEIFS(Tabla1[Sueño],Tabla1[Nombre],Dashboard!$A$5,Tabla1[Estrés],"&lt;&gt;""",Tabla1[Fecha],K$2),
IF($C$4=Dashboard!$A$21,AVERAGEIFS(Tabla1[DOMS],Tabla1[Nombre],Dashboard!$A$5,Tabla1[Estrés],"&lt;&gt;""",Tabla1[Fecha],K$2),
IF($C$5=Dashboard!$A$21,AVERAGEIFS(Tabla1[Energía],Tabla1[Nombre],Dashboard!$A$5,Tabla1[Estrés],"&lt;&gt;""",Tabla1[Fecha],K$2),
IF($C$6=Dashboard!$A$21,AVERAGEIFS(Tabla1[Fatiga],Tabla1[Nombre],Dashboard!$A$5,Tabla1[Estrés],"&lt;&gt;""",Tabla1[Fecha],K$2),
IF($C$7=Dashboard!$A$21,AVERAGEIFS(Tabla1[General],Tabla1[Nombre],Dashboard!$A$5,Tabla1[Estrés],"&lt;&gt;""",Tabla1[Fecha],K$2),
IF($C$8=Dashboard!$A$21,AVERAGEIFS(Tabla1[Readiness],Tabla1[Nombre],Dashboard!$A$5,Tabla1[Estrés],"&lt;&gt;""",Tabla1[Fecha],K$2))))))))</f>
        <v>21</v>
      </c>
      <c r="L3">
        <f>IF($C$2=Dashboard!$A$21,AVERAGEIFS(Tabla1[Estrés],Tabla1[Nombre],Dashboard!$A$5,Tabla1[Estrés],"&lt;&gt;""",Tabla1[Fecha],L$2),
IF($C$3=Dashboard!$A$21,AVERAGEIFS(Tabla1[Sueño],Tabla1[Nombre],Dashboard!$A$5,Tabla1[Estrés],"&lt;&gt;""",Tabla1[Fecha],L$2),
IF($C$4=Dashboard!$A$21,AVERAGEIFS(Tabla1[DOMS],Tabla1[Nombre],Dashboard!$A$5,Tabla1[Estrés],"&lt;&gt;""",Tabla1[Fecha],L$2),
IF($C$5=Dashboard!$A$21,AVERAGEIFS(Tabla1[Energía],Tabla1[Nombre],Dashboard!$A$5,Tabla1[Estrés],"&lt;&gt;""",Tabla1[Fecha],L$2),
IF($C$6=Dashboard!$A$21,AVERAGEIFS(Tabla1[Fatiga],Tabla1[Nombre],Dashboard!$A$5,Tabla1[Estrés],"&lt;&gt;""",Tabla1[Fecha],L$2),
IF($C$7=Dashboard!$A$21,AVERAGEIFS(Tabla1[General],Tabla1[Nombre],Dashboard!$A$5,Tabla1[Estrés],"&lt;&gt;""",Tabla1[Fecha],L$2),
IF($C$8=Dashboard!$A$21,AVERAGEIFS(Tabla1[Readiness],Tabla1[Nombre],Dashboard!$A$5,Tabla1[Estrés],"&lt;&gt;""",Tabla1[Fecha],L$2))))))))</f>
        <v>24</v>
      </c>
      <c r="M3">
        <f>IF($C$2=Dashboard!$A$21,AVERAGEIFS(Tabla1[Estrés],Tabla1[Nombre],Dashboard!$A$5,Tabla1[Estrés],"&lt;&gt;""",Tabla1[Fecha],M$2),
IF($C$3=Dashboard!$A$21,AVERAGEIFS(Tabla1[Sueño],Tabla1[Nombre],Dashboard!$A$5,Tabla1[Estrés],"&lt;&gt;""",Tabla1[Fecha],M$2),
IF($C$4=Dashboard!$A$21,AVERAGEIFS(Tabla1[DOMS],Tabla1[Nombre],Dashboard!$A$5,Tabla1[Estrés],"&lt;&gt;""",Tabla1[Fecha],M$2),
IF($C$5=Dashboard!$A$21,AVERAGEIFS(Tabla1[Energía],Tabla1[Nombre],Dashboard!$A$5,Tabla1[Estrés],"&lt;&gt;""",Tabla1[Fecha],M$2),
IF($C$6=Dashboard!$A$21,AVERAGEIFS(Tabla1[Fatiga],Tabla1[Nombre],Dashboard!$A$5,Tabla1[Estrés],"&lt;&gt;""",Tabla1[Fecha],M$2),
IF($C$7=Dashboard!$A$21,AVERAGEIFS(Tabla1[General],Tabla1[Nombre],Dashboard!$A$5,Tabla1[Estrés],"&lt;&gt;""",Tabla1[Fecha],M$2),
IF($C$8=Dashboard!$A$21,AVERAGEIFS(Tabla1[Readiness],Tabla1[Nombre],Dashboard!$A$5,Tabla1[Estrés],"&lt;&gt;""",Tabla1[Fecha],M$2))))))))</f>
        <v>22</v>
      </c>
      <c r="N3">
        <f>IF($C$2=Dashboard!$A$21,AVERAGEIFS(Tabla1[Estrés],Tabla1[Nombre],Dashboard!$A$5,Tabla1[Estrés],"&lt;&gt;""",Tabla1[Fecha],N$2),
IF($C$3=Dashboard!$A$21,AVERAGEIFS(Tabla1[Sueño],Tabla1[Nombre],Dashboard!$A$5,Tabla1[Estrés],"&lt;&gt;""",Tabla1[Fecha],N$2),
IF($C$4=Dashboard!$A$21,AVERAGEIFS(Tabla1[DOMS],Tabla1[Nombre],Dashboard!$A$5,Tabla1[Estrés],"&lt;&gt;""",Tabla1[Fecha],N$2),
IF($C$5=Dashboard!$A$21,AVERAGEIFS(Tabla1[Energía],Tabla1[Nombre],Dashboard!$A$5,Tabla1[Estrés],"&lt;&gt;""",Tabla1[Fecha],N$2),
IF($C$6=Dashboard!$A$21,AVERAGEIFS(Tabla1[Fatiga],Tabla1[Nombre],Dashboard!$A$5,Tabla1[Estrés],"&lt;&gt;""",Tabla1[Fecha],N$2),
IF($C$7=Dashboard!$A$21,AVERAGEIFS(Tabla1[General],Tabla1[Nombre],Dashboard!$A$5,Tabla1[Estrés],"&lt;&gt;""",Tabla1[Fecha],N$2),
IF($C$8=Dashboard!$A$21,AVERAGEIFS(Tabla1[Readiness],Tabla1[Nombre],Dashboard!$A$5,Tabla1[Estrés],"&lt;&gt;""",Tabla1[Fecha],N$2))))))))</f>
        <v>21</v>
      </c>
      <c r="O3">
        <f>IF($C$2=Dashboard!$A$21,AVERAGEIFS(Tabla1[Estrés],Tabla1[Nombre],Dashboard!$A$5,Tabla1[Estrés],"&lt;&gt;""",Tabla1[Fecha],O$2),
IF($C$3=Dashboard!$A$21,AVERAGEIFS(Tabla1[Sueño],Tabla1[Nombre],Dashboard!$A$5,Tabla1[Estrés],"&lt;&gt;""",Tabla1[Fecha],O$2),
IF($C$4=Dashboard!$A$21,AVERAGEIFS(Tabla1[DOMS],Tabla1[Nombre],Dashboard!$A$5,Tabla1[Estrés],"&lt;&gt;""",Tabla1[Fecha],O$2),
IF($C$5=Dashboard!$A$21,AVERAGEIFS(Tabla1[Energía],Tabla1[Nombre],Dashboard!$A$5,Tabla1[Estrés],"&lt;&gt;""",Tabla1[Fecha],O$2),
IF($C$6=Dashboard!$A$21,AVERAGEIFS(Tabla1[Fatiga],Tabla1[Nombre],Dashboard!$A$5,Tabla1[Estrés],"&lt;&gt;""",Tabla1[Fecha],O$2),
IF($C$7=Dashboard!$A$21,AVERAGEIFS(Tabla1[General],Tabla1[Nombre],Dashboard!$A$5,Tabla1[Estrés],"&lt;&gt;""",Tabla1[Fecha],O$2),
IF($C$8=Dashboard!$A$21,AVERAGEIFS(Tabla1[Readiness],Tabla1[Nombre],Dashboard!$A$5,Tabla1[Estrés],"&lt;&gt;""",Tabla1[Fecha],O$2))))))))</f>
        <v>17</v>
      </c>
      <c r="Q3" t="s">
        <v>67</v>
      </c>
      <c r="S3" t="b">
        <f>IF(AND(Dashboard!$A$17&lt;1,Dashboard!$A$13=Ref!$A$2),Dashboard!$A$5&amp;" El"&amp;TEXT(Dashboard!$A$9," dd/mm")&amp;" Vs Media Propia De La Temporada")</f>
        <v>0</v>
      </c>
      <c r="T3">
        <f>IF(S3=FALSE,0,1)</f>
        <v>0</v>
      </c>
    </row>
    <row r="4" spans="1:20" ht="15.75" customHeight="1">
      <c r="A4" s="22" t="s">
        <v>53</v>
      </c>
      <c r="C4" s="2" t="s">
        <v>6</v>
      </c>
      <c r="D4" s="2"/>
      <c r="E4" s="56" t="s">
        <v>62</v>
      </c>
      <c r="F4" s="12">
        <f>IF($C$2=Dashboard!$A$21,AVERAGEIFS(Tabla1[Estrés],Tabla1[Nombre],Dashboard!$A$5,Tabla1[Estrés],"&lt;&gt;""",Tabla1[Fecha],"&lt;="&amp;F$2, Tabla1[Fecha],"&gt;="&amp;F$2-Dashboard!$A$29),
IF($C$3=Dashboard!$A$21,AVERAGEIFS(Tabla1[Sueño],Tabla1[Nombre],Dashboard!$A$5,Tabla1[Sueño],"&lt;&gt;""",Tabla1[Fecha],"&lt;="&amp;F$2, Tabla1[Fecha],"&gt;="&amp;F$2-Dashboard!$A$29),
IF($C$4=Dashboard!$A$21,AVERAGEIFS(Tabla1[DOMS],Tabla1[Nombre],Dashboard!$A$5,Tabla1[DOMS],"&lt;&gt;""",Tabla1[Fecha],"&lt;="&amp;F$2, Tabla1[Fecha],"&gt;="&amp;F$2-Dashboard!$A$29),
IF($C$5=Dashboard!$A$21,AVERAGEIFS(Tabla1[Energía],Tabla1[Nombre],Dashboard!$A$5,Tabla1[Energía],"&lt;&gt;""",Tabla1[Fecha],"&lt;="&amp;F$2, Tabla1[Fecha],"&gt;="&amp;F$2-Dashboard!$A$29),
IF($C$6=Dashboard!$A$21,AVERAGEIFS(Tabla1[Fatiga],Tabla1[Nombre],Dashboard!$A$5,Tabla1[Fatiga],"&lt;&gt;""",Tabla1[Fecha],"&lt;="&amp;F$2, Tabla1[Fecha],"&gt;="&amp;F$2-Dashboard!$A$29),
IF($C$7=Dashboard!$A$21,AVERAGEIFS(Tabla1[General],Tabla1[Nombre],Dashboard!$A$5,Tabla1[General],"&lt;&gt;""",Tabla1[Fecha],"&lt;="&amp;F$2, Tabla1[Fecha],"&gt;="&amp;F$2-Dashboard!$A$29),
IF($C$8=Dashboard!$A$21,AVERAGEIFS(Tabla1[Readiness],Tabla1[Nombre],Dashboard!$A$5,Tabla1[Readiness],"&lt;&gt;""",Tabla1[Fecha],"&lt;="&amp;F$2, Tabla1[Fecha],"&gt;="&amp;F$2-Dashboard!$A$29))))))))</f>
        <v>20.399999999999999</v>
      </c>
      <c r="G4" s="12">
        <f>IF($C$2=Dashboard!$A$21,AVERAGEIFS(Tabla1[Estrés],Tabla1[Nombre],Dashboard!$A$5,Tabla1[Estrés],"&lt;&gt;""",Tabla1[Fecha],"&lt;="&amp;G$2, Tabla1[Fecha],"&gt;="&amp;G$2-Dashboard!$A$29),
IF($C$3=Dashboard!$A$21,AVERAGEIFS(Tabla1[Sueño],Tabla1[Nombre],Dashboard!$A$5,Tabla1[Sueño],"&lt;&gt;""",Tabla1[Fecha],"&lt;="&amp;G$2, Tabla1[Fecha],"&gt;="&amp;G$2-Dashboard!$A$29),
IF($C$4=Dashboard!$A$21,AVERAGEIFS(Tabla1[DOMS],Tabla1[Nombre],Dashboard!$A$5,Tabla1[DOMS],"&lt;&gt;""",Tabla1[Fecha],"&lt;="&amp;G$2, Tabla1[Fecha],"&gt;="&amp;G$2-Dashboard!$A$29),
IF($C$5=Dashboard!$A$21,AVERAGEIFS(Tabla1[Energía],Tabla1[Nombre],Dashboard!$A$5,Tabla1[Energía],"&lt;&gt;""",Tabla1[Fecha],"&lt;="&amp;G$2, Tabla1[Fecha],"&gt;="&amp;G$2-Dashboard!$A$29),
IF($C$6=Dashboard!$A$21,AVERAGEIFS(Tabla1[Fatiga],Tabla1[Nombre],Dashboard!$A$5,Tabla1[Fatiga],"&lt;&gt;""",Tabla1[Fecha],"&lt;="&amp;G$2, Tabla1[Fecha],"&gt;="&amp;G$2-Dashboard!$A$29),
IF($C$7=Dashboard!$A$21,AVERAGEIFS(Tabla1[General],Tabla1[Nombre],Dashboard!$A$5,Tabla1[General],"&lt;&gt;""",Tabla1[Fecha],"&lt;="&amp;G$2, Tabla1[Fecha],"&gt;="&amp;G$2-Dashboard!$A$29),
IF($C$8=Dashboard!$A$21,AVERAGEIFS(Tabla1[Readiness],Tabla1[Nombre],Dashboard!$A$5,Tabla1[Readiness],"&lt;&gt;""",Tabla1[Fecha],"&lt;="&amp;G$2, Tabla1[Fecha],"&gt;="&amp;G$2-Dashboard!$A$29))))))))</f>
        <v>20.833333333333332</v>
      </c>
      <c r="H4" s="12">
        <f>IF($C$2=Dashboard!$A$21,AVERAGEIFS(Tabla1[Estrés],Tabla1[Nombre],Dashboard!$A$5,Tabla1[Estrés],"&lt;&gt;""",Tabla1[Fecha],"&lt;="&amp;H$2, Tabla1[Fecha],"&gt;="&amp;H$2-Dashboard!$A$29),
IF($C$3=Dashboard!$A$21,AVERAGEIFS(Tabla1[Sueño],Tabla1[Nombre],Dashboard!$A$5,Tabla1[Sueño],"&lt;&gt;""",Tabla1[Fecha],"&lt;="&amp;H$2, Tabla1[Fecha],"&gt;="&amp;H$2-Dashboard!$A$29),
IF($C$4=Dashboard!$A$21,AVERAGEIFS(Tabla1[DOMS],Tabla1[Nombre],Dashboard!$A$5,Tabla1[DOMS],"&lt;&gt;""",Tabla1[Fecha],"&lt;="&amp;H$2, Tabla1[Fecha],"&gt;="&amp;H$2-Dashboard!$A$29),
IF($C$5=Dashboard!$A$21,AVERAGEIFS(Tabla1[Energía],Tabla1[Nombre],Dashboard!$A$5,Tabla1[Energía],"&lt;&gt;""",Tabla1[Fecha],"&lt;="&amp;H$2, Tabla1[Fecha],"&gt;="&amp;H$2-Dashboard!$A$29),
IF($C$6=Dashboard!$A$21,AVERAGEIFS(Tabla1[Fatiga],Tabla1[Nombre],Dashboard!$A$5,Tabla1[Fatiga],"&lt;&gt;""",Tabla1[Fecha],"&lt;="&amp;H$2, Tabla1[Fecha],"&gt;="&amp;H$2-Dashboard!$A$29),
IF($C$7=Dashboard!$A$21,AVERAGEIFS(Tabla1[General],Tabla1[Nombre],Dashboard!$A$5,Tabla1[General],"&lt;&gt;""",Tabla1[Fecha],"&lt;="&amp;H$2, Tabla1[Fecha],"&gt;="&amp;H$2-Dashboard!$A$29),
IF($C$8=Dashboard!$A$21,AVERAGEIFS(Tabla1[Readiness],Tabla1[Nombre],Dashboard!$A$5,Tabla1[Readiness],"&lt;&gt;""",Tabla1[Fecha],"&lt;="&amp;H$2, Tabla1[Fecha],"&gt;="&amp;H$2-Dashboard!$A$29))))))))</f>
        <v>20.333333333333332</v>
      </c>
      <c r="I4" s="12">
        <f>IF($C$2=Dashboard!$A$21,AVERAGEIFS(Tabla1[Estrés],Tabla1[Nombre],Dashboard!$A$5,Tabla1[Estrés],"&lt;&gt;""",Tabla1[Fecha],"&lt;="&amp;I$2, Tabla1[Fecha],"&gt;="&amp;I$2-Dashboard!$A$29),
IF($C$3=Dashboard!$A$21,AVERAGEIFS(Tabla1[Sueño],Tabla1[Nombre],Dashboard!$A$5,Tabla1[Sueño],"&lt;&gt;""",Tabla1[Fecha],"&lt;="&amp;I$2, Tabla1[Fecha],"&gt;="&amp;I$2-Dashboard!$A$29),
IF($C$4=Dashboard!$A$21,AVERAGEIFS(Tabla1[DOMS],Tabla1[Nombre],Dashboard!$A$5,Tabla1[DOMS],"&lt;&gt;""",Tabla1[Fecha],"&lt;="&amp;I$2, Tabla1[Fecha],"&gt;="&amp;I$2-Dashboard!$A$29),
IF($C$5=Dashboard!$A$21,AVERAGEIFS(Tabla1[Energía],Tabla1[Nombre],Dashboard!$A$5,Tabla1[Energía],"&lt;&gt;""",Tabla1[Fecha],"&lt;="&amp;I$2, Tabla1[Fecha],"&gt;="&amp;I$2-Dashboard!$A$29),
IF($C$6=Dashboard!$A$21,AVERAGEIFS(Tabla1[Fatiga],Tabla1[Nombre],Dashboard!$A$5,Tabla1[Fatiga],"&lt;&gt;""",Tabla1[Fecha],"&lt;="&amp;I$2, Tabla1[Fecha],"&gt;="&amp;I$2-Dashboard!$A$29),
IF($C$7=Dashboard!$A$21,AVERAGEIFS(Tabla1[General],Tabla1[Nombre],Dashboard!$A$5,Tabla1[General],"&lt;&gt;""",Tabla1[Fecha],"&lt;="&amp;I$2, Tabla1[Fecha],"&gt;="&amp;I$2-Dashboard!$A$29),
IF($C$8=Dashboard!$A$21,AVERAGEIFS(Tabla1[Readiness],Tabla1[Nombre],Dashboard!$A$5,Tabla1[Readiness],"&lt;&gt;""",Tabla1[Fecha],"&lt;="&amp;I$2, Tabla1[Fecha],"&gt;="&amp;I$2-Dashboard!$A$29))))))))</f>
        <v>20.833333333333332</v>
      </c>
      <c r="J4" s="12">
        <f>IF($C$2=Dashboard!$A$21,AVERAGEIFS(Tabla1[Estrés],Tabla1[Nombre],Dashboard!$A$5,Tabla1[Estrés],"&lt;&gt;""",Tabla1[Fecha],"&lt;="&amp;J$2, Tabla1[Fecha],"&gt;="&amp;J$2-Dashboard!$A$29),
IF($C$3=Dashboard!$A$21,AVERAGEIFS(Tabla1[Sueño],Tabla1[Nombre],Dashboard!$A$5,Tabla1[Sueño],"&lt;&gt;""",Tabla1[Fecha],"&lt;="&amp;J$2, Tabla1[Fecha],"&gt;="&amp;J$2-Dashboard!$A$29),
IF($C$4=Dashboard!$A$21,AVERAGEIFS(Tabla1[DOMS],Tabla1[Nombre],Dashboard!$A$5,Tabla1[DOMS],"&lt;&gt;""",Tabla1[Fecha],"&lt;="&amp;J$2, Tabla1[Fecha],"&gt;="&amp;J$2-Dashboard!$A$29),
IF($C$5=Dashboard!$A$21,AVERAGEIFS(Tabla1[Energía],Tabla1[Nombre],Dashboard!$A$5,Tabla1[Energía],"&lt;&gt;""",Tabla1[Fecha],"&lt;="&amp;J$2, Tabla1[Fecha],"&gt;="&amp;J$2-Dashboard!$A$29),
IF($C$6=Dashboard!$A$21,AVERAGEIFS(Tabla1[Fatiga],Tabla1[Nombre],Dashboard!$A$5,Tabla1[Fatiga],"&lt;&gt;""",Tabla1[Fecha],"&lt;="&amp;J$2, Tabla1[Fecha],"&gt;="&amp;J$2-Dashboard!$A$29),
IF($C$7=Dashboard!$A$21,AVERAGEIFS(Tabla1[General],Tabla1[Nombre],Dashboard!$A$5,Tabla1[General],"&lt;&gt;""",Tabla1[Fecha],"&lt;="&amp;J$2, Tabla1[Fecha],"&gt;="&amp;J$2-Dashboard!$A$29),
IF($C$8=Dashboard!$A$21,AVERAGEIFS(Tabla1[Readiness],Tabla1[Nombre],Dashboard!$A$5,Tabla1[Readiness],"&lt;&gt;""",Tabla1[Fecha],"&lt;="&amp;J$2, Tabla1[Fecha],"&gt;="&amp;J$2-Dashboard!$A$29))))))))</f>
        <v>20.166666666666668</v>
      </c>
      <c r="K4" s="12">
        <f>IF($C$2=Dashboard!$A$21,AVERAGEIFS(Tabla1[Estrés],Tabla1[Nombre],Dashboard!$A$5,Tabla1[Estrés],"&lt;&gt;""",Tabla1[Fecha],"&lt;="&amp;K$2, Tabla1[Fecha],"&gt;="&amp;K$2-Dashboard!$A$29),
IF($C$3=Dashboard!$A$21,AVERAGEIFS(Tabla1[Sueño],Tabla1[Nombre],Dashboard!$A$5,Tabla1[Sueño],"&lt;&gt;""",Tabla1[Fecha],"&lt;="&amp;K$2, Tabla1[Fecha],"&gt;="&amp;K$2-Dashboard!$A$29),
IF($C$4=Dashboard!$A$21,AVERAGEIFS(Tabla1[DOMS],Tabla1[Nombre],Dashboard!$A$5,Tabla1[DOMS],"&lt;&gt;""",Tabla1[Fecha],"&lt;="&amp;K$2, Tabla1[Fecha],"&gt;="&amp;K$2-Dashboard!$A$29),
IF($C$5=Dashboard!$A$21,AVERAGEIFS(Tabla1[Energía],Tabla1[Nombre],Dashboard!$A$5,Tabla1[Energía],"&lt;&gt;""",Tabla1[Fecha],"&lt;="&amp;K$2, Tabla1[Fecha],"&gt;="&amp;K$2-Dashboard!$A$29),
IF($C$6=Dashboard!$A$21,AVERAGEIFS(Tabla1[Fatiga],Tabla1[Nombre],Dashboard!$A$5,Tabla1[Fatiga],"&lt;&gt;""",Tabla1[Fecha],"&lt;="&amp;K$2, Tabla1[Fecha],"&gt;="&amp;K$2-Dashboard!$A$29),
IF($C$7=Dashboard!$A$21,AVERAGEIFS(Tabla1[General],Tabla1[Nombre],Dashboard!$A$5,Tabla1[General],"&lt;&gt;""",Tabla1[Fecha],"&lt;="&amp;K$2, Tabla1[Fecha],"&gt;="&amp;K$2-Dashboard!$A$29),
IF($C$8=Dashboard!$A$21,AVERAGEIFS(Tabla1[Readiness],Tabla1[Nombre],Dashboard!$A$5,Tabla1[Readiness],"&lt;&gt;""",Tabla1[Fecha],"&lt;="&amp;K$2, Tabla1[Fecha],"&gt;="&amp;K$2-Dashboard!$A$29))))))))</f>
        <v>21</v>
      </c>
      <c r="L4" s="12">
        <f>IF($C$2=Dashboard!$A$21,AVERAGEIFS(Tabla1[Estrés],Tabla1[Nombre],Dashboard!$A$5,Tabla1[Estrés],"&lt;&gt;""",Tabla1[Fecha],"&lt;="&amp;L$2, Tabla1[Fecha],"&gt;="&amp;L$2-Dashboard!$A$29),
IF($C$3=Dashboard!$A$21,AVERAGEIFS(Tabla1[Sueño],Tabla1[Nombre],Dashboard!$A$5,Tabla1[Sueño],"&lt;&gt;""",Tabla1[Fecha],"&lt;="&amp;L$2, Tabla1[Fecha],"&gt;="&amp;L$2-Dashboard!$A$29),
IF($C$4=Dashboard!$A$21,AVERAGEIFS(Tabla1[DOMS],Tabla1[Nombre],Dashboard!$A$5,Tabla1[DOMS],"&lt;&gt;""",Tabla1[Fecha],"&lt;="&amp;L$2, Tabla1[Fecha],"&gt;="&amp;L$2-Dashboard!$A$29),
IF($C$5=Dashboard!$A$21,AVERAGEIFS(Tabla1[Energía],Tabla1[Nombre],Dashboard!$A$5,Tabla1[Energía],"&lt;&gt;""",Tabla1[Fecha],"&lt;="&amp;L$2, Tabla1[Fecha],"&gt;="&amp;L$2-Dashboard!$A$29),
IF($C$6=Dashboard!$A$21,AVERAGEIFS(Tabla1[Fatiga],Tabla1[Nombre],Dashboard!$A$5,Tabla1[Fatiga],"&lt;&gt;""",Tabla1[Fecha],"&lt;="&amp;L$2, Tabla1[Fecha],"&gt;="&amp;L$2-Dashboard!$A$29),
IF($C$7=Dashboard!$A$21,AVERAGEIFS(Tabla1[General],Tabla1[Nombre],Dashboard!$A$5,Tabla1[General],"&lt;&gt;""",Tabla1[Fecha],"&lt;="&amp;L$2, Tabla1[Fecha],"&gt;="&amp;L$2-Dashboard!$A$29),
IF($C$8=Dashboard!$A$21,AVERAGEIFS(Tabla1[Readiness],Tabla1[Nombre],Dashboard!$A$5,Tabla1[Readiness],"&lt;&gt;""",Tabla1[Fecha],"&lt;="&amp;L$2, Tabla1[Fecha],"&gt;="&amp;L$2-Dashboard!$A$29))))))))</f>
        <v>21.333333333333332</v>
      </c>
      <c r="M4" s="12">
        <f>IF($C$2=Dashboard!$A$21,AVERAGEIFS(Tabla1[Estrés],Tabla1[Nombre],Dashboard!$A$5,Tabla1[Estrés],"&lt;&gt;""",Tabla1[Fecha],"&lt;="&amp;M$2, Tabla1[Fecha],"&gt;="&amp;M$2-Dashboard!$A$29),
IF($C$3=Dashboard!$A$21,AVERAGEIFS(Tabla1[Sueño],Tabla1[Nombre],Dashboard!$A$5,Tabla1[Sueño],"&lt;&gt;""",Tabla1[Fecha],"&lt;="&amp;M$2, Tabla1[Fecha],"&gt;="&amp;M$2-Dashboard!$A$29),
IF($C$4=Dashboard!$A$21,AVERAGEIFS(Tabla1[DOMS],Tabla1[Nombre],Dashboard!$A$5,Tabla1[DOMS],"&lt;&gt;""",Tabla1[Fecha],"&lt;="&amp;M$2, Tabla1[Fecha],"&gt;="&amp;M$2-Dashboard!$A$29),
IF($C$5=Dashboard!$A$21,AVERAGEIFS(Tabla1[Energía],Tabla1[Nombre],Dashboard!$A$5,Tabla1[Energía],"&lt;&gt;""",Tabla1[Fecha],"&lt;="&amp;M$2, Tabla1[Fecha],"&gt;="&amp;M$2-Dashboard!$A$29),
IF($C$6=Dashboard!$A$21,AVERAGEIFS(Tabla1[Fatiga],Tabla1[Nombre],Dashboard!$A$5,Tabla1[Fatiga],"&lt;&gt;""",Tabla1[Fecha],"&lt;="&amp;M$2, Tabla1[Fecha],"&gt;="&amp;M$2-Dashboard!$A$29),
IF($C$7=Dashboard!$A$21,AVERAGEIFS(Tabla1[General],Tabla1[Nombre],Dashboard!$A$5,Tabla1[General],"&lt;&gt;""",Tabla1[Fecha],"&lt;="&amp;M$2, Tabla1[Fecha],"&gt;="&amp;M$2-Dashboard!$A$29),
IF($C$8=Dashboard!$A$21,AVERAGEIFS(Tabla1[Readiness],Tabla1[Nombre],Dashboard!$A$5,Tabla1[Readiness],"&lt;&gt;""",Tabla1[Fecha],"&lt;="&amp;M$2, Tabla1[Fecha],"&gt;="&amp;M$2-Dashboard!$A$29))))))))</f>
        <v>21.428571428571427</v>
      </c>
      <c r="N4" s="12">
        <f>IF($C$2=Dashboard!$A$21,AVERAGEIFS(Tabla1[Estrés],Tabla1[Nombre],Dashboard!$A$5,Tabla1[Estrés],"&lt;&gt;""",Tabla1[Fecha],"&lt;="&amp;N$2, Tabla1[Fecha],"&gt;="&amp;N$2-Dashboard!$A$29),
IF($C$3=Dashboard!$A$21,AVERAGEIFS(Tabla1[Sueño],Tabla1[Nombre],Dashboard!$A$5,Tabla1[Sueño],"&lt;&gt;""",Tabla1[Fecha],"&lt;="&amp;N$2, Tabla1[Fecha],"&gt;="&amp;N$2-Dashboard!$A$29),
IF($C$4=Dashboard!$A$21,AVERAGEIFS(Tabla1[DOMS],Tabla1[Nombre],Dashboard!$A$5,Tabla1[DOMS],"&lt;&gt;""",Tabla1[Fecha],"&lt;="&amp;N$2, Tabla1[Fecha],"&gt;="&amp;N$2-Dashboard!$A$29),
IF($C$5=Dashboard!$A$21,AVERAGEIFS(Tabla1[Energía],Tabla1[Nombre],Dashboard!$A$5,Tabla1[Energía],"&lt;&gt;""",Tabla1[Fecha],"&lt;="&amp;N$2, Tabla1[Fecha],"&gt;="&amp;N$2-Dashboard!$A$29),
IF($C$6=Dashboard!$A$21,AVERAGEIFS(Tabla1[Fatiga],Tabla1[Nombre],Dashboard!$A$5,Tabla1[Fatiga],"&lt;&gt;""",Tabla1[Fecha],"&lt;="&amp;N$2, Tabla1[Fecha],"&gt;="&amp;N$2-Dashboard!$A$29),
IF($C$7=Dashboard!$A$21,AVERAGEIFS(Tabla1[General],Tabla1[Nombre],Dashboard!$A$5,Tabla1[General],"&lt;&gt;""",Tabla1[Fecha],"&lt;="&amp;N$2, Tabla1[Fecha],"&gt;="&amp;N$2-Dashboard!$A$29),
IF($C$8=Dashboard!$A$21,AVERAGEIFS(Tabla1[Readiness],Tabla1[Nombre],Dashboard!$A$5,Tabla1[Readiness],"&lt;&gt;""",Tabla1[Fecha],"&lt;="&amp;N$2, Tabla1[Fecha],"&gt;="&amp;N$2-Dashboard!$A$29))))))))</f>
        <v>21.166666666666668</v>
      </c>
      <c r="O4" s="12">
        <f>IF($C$2=Dashboard!$A$21,AVERAGEIFS(Tabla1[Estrés],Tabla1[Nombre],Dashboard!$A$5,Tabla1[Estrés],"&lt;&gt;""",Tabla1[Fecha],"&lt;="&amp;O$2, Tabla1[Fecha],"&gt;="&amp;O$2-Dashboard!$A$29),
IF($C$3=Dashboard!$A$21,AVERAGEIFS(Tabla1[Sueño],Tabla1[Nombre],Dashboard!$A$5,Tabla1[Sueño],"&lt;&gt;""",Tabla1[Fecha],"&lt;="&amp;O$2, Tabla1[Fecha],"&gt;="&amp;O$2-Dashboard!$A$29),
IF($C$4=Dashboard!$A$21,AVERAGEIFS(Tabla1[DOMS],Tabla1[Nombre],Dashboard!$A$5,Tabla1[DOMS],"&lt;&gt;""",Tabla1[Fecha],"&lt;="&amp;O$2, Tabla1[Fecha],"&gt;="&amp;O$2-Dashboard!$A$29),
IF($C$5=Dashboard!$A$21,AVERAGEIFS(Tabla1[Energía],Tabla1[Nombre],Dashboard!$A$5,Tabla1[Energía],"&lt;&gt;""",Tabla1[Fecha],"&lt;="&amp;O$2, Tabla1[Fecha],"&gt;="&amp;O$2-Dashboard!$A$29),
IF($C$6=Dashboard!$A$21,AVERAGEIFS(Tabla1[Fatiga],Tabla1[Nombre],Dashboard!$A$5,Tabla1[Fatiga],"&lt;&gt;""",Tabla1[Fecha],"&lt;="&amp;O$2, Tabla1[Fecha],"&gt;="&amp;O$2-Dashboard!$A$29),
IF($C$7=Dashboard!$A$21,AVERAGEIFS(Tabla1[General],Tabla1[Nombre],Dashboard!$A$5,Tabla1[General],"&lt;&gt;""",Tabla1[Fecha],"&lt;="&amp;O$2, Tabla1[Fecha],"&gt;="&amp;O$2-Dashboard!$A$29),
IF($C$8=Dashboard!$A$21,AVERAGEIFS(Tabla1[Readiness],Tabla1[Nombre],Dashboard!$A$5,Tabla1[Readiness],"&lt;&gt;""",Tabla1[Fecha],"&lt;="&amp;O$2, Tabla1[Fecha],"&gt;="&amp;O$2-Dashboard!$A$29))))))))</f>
        <v>20.333333333333332</v>
      </c>
      <c r="Q4" s="22" t="s">
        <v>68</v>
      </c>
      <c r="S4" t="b">
        <f>IF(AND(Dashboard!$A$17&lt;1,Dashboard!$A$13=Ref!$A$3),Dashboard!$A$5&amp;" El"&amp;TEXT(Dashboard!$A$9," dd/mm")&amp;" Vs Media Diaria Del Deporte")</f>
        <v>0</v>
      </c>
      <c r="T4">
        <f t="shared" ref="T4:T8" si="0">IF(S4=FALSE,0,1)</f>
        <v>0</v>
      </c>
    </row>
    <row r="5" spans="1:20" ht="15.75" customHeight="1">
      <c r="C5" s="2" t="s">
        <v>7</v>
      </c>
      <c r="D5" s="2"/>
      <c r="E5" s="56" t="s">
        <v>63</v>
      </c>
      <c r="F5" s="12">
        <f>IF($C$2=Dashboard!$A$21,AVERAGEIFS(Tabla1[Estrés],Tabla1[Nombre],Dashboard!$A$5,Tabla1[Estrés],"&lt;&gt;""",Tabla1[Fecha],"&lt;="&amp;F$2, Tabla1[Fecha],"&gt;="&amp;F$2-Dashboard!$A$34),
IF($C$3=Dashboard!$A$21,AVERAGEIFS(Tabla1[Sueño],Tabla1[Nombre],Dashboard!$A$5,Tabla1[Sueño],"&lt;&gt;""",Tabla1[Fecha],"&lt;="&amp;F$2, Tabla1[Fecha],"&gt;="&amp;F$2-Dashboard!$A$34),
IF($C$4=Dashboard!$A$21,AVERAGEIFS(Tabla1[DOMS],Tabla1[Nombre],Dashboard!$A$5,Tabla1[DOMS],"&lt;&gt;""",Tabla1[Fecha],"&lt;="&amp;F$2, Tabla1[Fecha],"&gt;="&amp;F$2-Dashboard!$A$34),
IF($C$5=Dashboard!$A$21,AVERAGEIFS(Tabla1[Energía],Tabla1[Nombre],Dashboard!$A$5,Tabla1[Energía],"&lt;&gt;""",Tabla1[Fecha],"&lt;="&amp;F$2, Tabla1[Fecha],"&gt;="&amp;F$2-Dashboard!$A$34),
IF($C$6=Dashboard!$A$21,AVERAGEIFS(Tabla1[Fatiga],Tabla1[Nombre],Dashboard!$A$5,Tabla1[Fatiga],"&lt;&gt;""",Tabla1[Fecha],"&lt;="&amp;F$2, Tabla1[Fecha],"&gt;="&amp;F$2-Dashboard!$A$34),
IF($C$7=Dashboard!$A$21,AVERAGEIFS(Tabla1[General],Tabla1[Nombre],Dashboard!$A$5,Tabla1[General],"&lt;&gt;""",Tabla1[Fecha],"&lt;="&amp;F$2, Tabla1[Fecha],"&gt;="&amp;F$2-Dashboard!$A$34),
IF($C$8=Dashboard!$A$21,AVERAGEIFS(Tabla1[Readiness],Tabla1[Nombre],Dashboard!$A$5,Tabla1[Readiness],"&lt;&gt;""",Tabla1[Fecha],"&lt;="&amp;F$2, Tabla1[Fecha],"&gt;="&amp;F$2-Dashboard!$A$34))))))))</f>
        <v>22</v>
      </c>
      <c r="G5" s="12">
        <f>IF($C$2=Dashboard!$A$21,AVERAGEIFS(Tabla1[Estrés],Tabla1[Nombre],Dashboard!$A$5,Tabla1[Estrés],"&lt;&gt;""",Tabla1[Fecha],"&lt;="&amp;G$2, Tabla1[Fecha],"&gt;="&amp;G$2-Dashboard!$A$34),
IF($C$3=Dashboard!$A$21,AVERAGEIFS(Tabla1[Sueño],Tabla1[Nombre],Dashboard!$A$5,Tabla1[Sueño],"&lt;&gt;""",Tabla1[Fecha],"&lt;="&amp;G$2, Tabla1[Fecha],"&gt;="&amp;G$2-Dashboard!$A$34),
IF($C$4=Dashboard!$A$21,AVERAGEIFS(Tabla1[DOMS],Tabla1[Nombre],Dashboard!$A$5,Tabla1[DOMS],"&lt;&gt;""",Tabla1[Fecha],"&lt;="&amp;G$2, Tabla1[Fecha],"&gt;="&amp;G$2-Dashboard!$A$34),
IF($C$5=Dashboard!$A$21,AVERAGEIFS(Tabla1[Energía],Tabla1[Nombre],Dashboard!$A$5,Tabla1[Energía],"&lt;&gt;""",Tabla1[Fecha],"&lt;="&amp;G$2, Tabla1[Fecha],"&gt;="&amp;G$2-Dashboard!$A$34),
IF($C$6=Dashboard!$A$21,AVERAGEIFS(Tabla1[Fatiga],Tabla1[Nombre],Dashboard!$A$5,Tabla1[Fatiga],"&lt;&gt;""",Tabla1[Fecha],"&lt;="&amp;G$2, Tabla1[Fecha],"&gt;="&amp;G$2-Dashboard!$A$34),
IF($C$7=Dashboard!$A$21,AVERAGEIFS(Tabla1[General],Tabla1[Nombre],Dashboard!$A$5,Tabla1[General],"&lt;&gt;""",Tabla1[Fecha],"&lt;="&amp;G$2, Tabla1[Fecha],"&gt;="&amp;G$2-Dashboard!$A$34),
IF($C$8=Dashboard!$A$21,AVERAGEIFS(Tabla1[Readiness],Tabla1[Nombre],Dashboard!$A$5,Tabla1[Readiness],"&lt;&gt;""",Tabla1[Fecha],"&lt;="&amp;G$2, Tabla1[Fecha],"&gt;="&amp;G$2-Dashboard!$A$34))))))))</f>
        <v>23</v>
      </c>
      <c r="H5" s="12">
        <f>IF($C$2=Dashboard!$A$21,AVERAGEIFS(Tabla1[Estrés],Tabla1[Nombre],Dashboard!$A$5,Tabla1[Estrés],"&lt;&gt;""",Tabla1[Fecha],"&lt;="&amp;H$2, Tabla1[Fecha],"&gt;="&amp;H$2-Dashboard!$A$34),
IF($C$3=Dashboard!$A$21,AVERAGEIFS(Tabla1[Sueño],Tabla1[Nombre],Dashboard!$A$5,Tabla1[Sueño],"&lt;&gt;""",Tabla1[Fecha],"&lt;="&amp;H$2, Tabla1[Fecha],"&gt;="&amp;H$2-Dashboard!$A$34),
IF($C$4=Dashboard!$A$21,AVERAGEIFS(Tabla1[DOMS],Tabla1[Nombre],Dashboard!$A$5,Tabla1[DOMS],"&lt;&gt;""",Tabla1[Fecha],"&lt;="&amp;H$2, Tabla1[Fecha],"&gt;="&amp;H$2-Dashboard!$A$34),
IF($C$5=Dashboard!$A$21,AVERAGEIFS(Tabla1[Energía],Tabla1[Nombre],Dashboard!$A$5,Tabla1[Energía],"&lt;&gt;""",Tabla1[Fecha],"&lt;="&amp;H$2, Tabla1[Fecha],"&gt;="&amp;H$2-Dashboard!$A$34),
IF($C$6=Dashboard!$A$21,AVERAGEIFS(Tabla1[Fatiga],Tabla1[Nombre],Dashboard!$A$5,Tabla1[Fatiga],"&lt;&gt;""",Tabla1[Fecha],"&lt;="&amp;H$2, Tabla1[Fecha],"&gt;="&amp;H$2-Dashboard!$A$34),
IF($C$7=Dashboard!$A$21,AVERAGEIFS(Tabla1[General],Tabla1[Nombre],Dashboard!$A$5,Tabla1[General],"&lt;&gt;""",Tabla1[Fecha],"&lt;="&amp;H$2, Tabla1[Fecha],"&gt;="&amp;H$2-Dashboard!$A$34),
IF($C$8=Dashboard!$A$21,AVERAGEIFS(Tabla1[Readiness],Tabla1[Nombre],Dashboard!$A$5,Tabla1[Readiness],"&lt;&gt;""",Tabla1[Fecha],"&lt;="&amp;H$2, Tabla1[Fecha],"&gt;="&amp;H$2-Dashboard!$A$34))))))))</f>
        <v>21</v>
      </c>
      <c r="I5" s="12">
        <f>IF($C$2=Dashboard!$A$21,AVERAGEIFS(Tabla1[Estrés],Tabla1[Nombre],Dashboard!$A$5,Tabla1[Estrés],"&lt;&gt;""",Tabla1[Fecha],"&lt;="&amp;I$2, Tabla1[Fecha],"&gt;="&amp;I$2-Dashboard!$A$34),
IF($C$3=Dashboard!$A$21,AVERAGEIFS(Tabla1[Sueño],Tabla1[Nombre],Dashboard!$A$5,Tabla1[Sueño],"&lt;&gt;""",Tabla1[Fecha],"&lt;="&amp;I$2, Tabla1[Fecha],"&gt;="&amp;I$2-Dashboard!$A$34),
IF($C$4=Dashboard!$A$21,AVERAGEIFS(Tabla1[DOMS],Tabla1[Nombre],Dashboard!$A$5,Tabla1[DOMS],"&lt;&gt;""",Tabla1[Fecha],"&lt;="&amp;I$2, Tabla1[Fecha],"&gt;="&amp;I$2-Dashboard!$A$34),
IF($C$5=Dashboard!$A$21,AVERAGEIFS(Tabla1[Energía],Tabla1[Nombre],Dashboard!$A$5,Tabla1[Energía],"&lt;&gt;""",Tabla1[Fecha],"&lt;="&amp;I$2, Tabla1[Fecha],"&gt;="&amp;I$2-Dashboard!$A$34),
IF($C$6=Dashboard!$A$21,AVERAGEIFS(Tabla1[Fatiga],Tabla1[Nombre],Dashboard!$A$5,Tabla1[Fatiga],"&lt;&gt;""",Tabla1[Fecha],"&lt;="&amp;I$2, Tabla1[Fecha],"&gt;="&amp;I$2-Dashboard!$A$34),
IF($C$7=Dashboard!$A$21,AVERAGEIFS(Tabla1[General],Tabla1[Nombre],Dashboard!$A$5,Tabla1[General],"&lt;&gt;""",Tabla1[Fecha],"&lt;="&amp;I$2, Tabla1[Fecha],"&gt;="&amp;I$2-Dashboard!$A$34),
IF($C$8=Dashboard!$A$21,AVERAGEIFS(Tabla1[Readiness],Tabla1[Nombre],Dashboard!$A$5,Tabla1[Readiness],"&lt;&gt;""",Tabla1[Fecha],"&lt;="&amp;I$2, Tabla1[Fecha],"&gt;="&amp;I$2-Dashboard!$A$34))))))))</f>
        <v>22</v>
      </c>
      <c r="J5" s="12">
        <f>IF($C$2=Dashboard!$A$21,AVERAGEIFS(Tabla1[Estrés],Tabla1[Nombre],Dashboard!$A$5,Tabla1[Estrés],"&lt;&gt;""",Tabla1[Fecha],"&lt;="&amp;J$2, Tabla1[Fecha],"&gt;="&amp;J$2-Dashboard!$A$34),
IF($C$3=Dashboard!$A$21,AVERAGEIFS(Tabla1[Sueño],Tabla1[Nombre],Dashboard!$A$5,Tabla1[Sueño],"&lt;&gt;""",Tabla1[Fecha],"&lt;="&amp;J$2, Tabla1[Fecha],"&gt;="&amp;J$2-Dashboard!$A$34),
IF($C$4=Dashboard!$A$21,AVERAGEIFS(Tabla1[DOMS],Tabla1[Nombre],Dashboard!$A$5,Tabla1[DOMS],"&lt;&gt;""",Tabla1[Fecha],"&lt;="&amp;J$2, Tabla1[Fecha],"&gt;="&amp;J$2-Dashboard!$A$34),
IF($C$5=Dashboard!$A$21,AVERAGEIFS(Tabla1[Energía],Tabla1[Nombre],Dashboard!$A$5,Tabla1[Energía],"&lt;&gt;""",Tabla1[Fecha],"&lt;="&amp;J$2, Tabla1[Fecha],"&gt;="&amp;J$2-Dashboard!$A$34),
IF($C$6=Dashboard!$A$21,AVERAGEIFS(Tabla1[Fatiga],Tabla1[Nombre],Dashboard!$A$5,Tabla1[Fatiga],"&lt;&gt;""",Tabla1[Fecha],"&lt;="&amp;J$2, Tabla1[Fecha],"&gt;="&amp;J$2-Dashboard!$A$34),
IF($C$7=Dashboard!$A$21,AVERAGEIFS(Tabla1[General],Tabla1[Nombre],Dashboard!$A$5,Tabla1[General],"&lt;&gt;""",Tabla1[Fecha],"&lt;="&amp;J$2, Tabla1[Fecha],"&gt;="&amp;J$2-Dashboard!$A$34),
IF($C$8=Dashboard!$A$21,AVERAGEIFS(Tabla1[Readiness],Tabla1[Nombre],Dashboard!$A$5,Tabla1[Readiness],"&lt;&gt;""",Tabla1[Fecha],"&lt;="&amp;J$2, Tabla1[Fecha],"&gt;="&amp;J$2-Dashboard!$A$34))))))))</f>
        <v>17</v>
      </c>
      <c r="K5" s="12">
        <f>IF($C$2=Dashboard!$A$21,AVERAGEIFS(Tabla1[Estrés],Tabla1[Nombre],Dashboard!$A$5,Tabla1[Estrés],"&lt;&gt;""",Tabla1[Fecha],"&lt;="&amp;K$2, Tabla1[Fecha],"&gt;="&amp;K$2-Dashboard!$A$34),
IF($C$3=Dashboard!$A$21,AVERAGEIFS(Tabla1[Sueño],Tabla1[Nombre],Dashboard!$A$5,Tabla1[Sueño],"&lt;&gt;""",Tabla1[Fecha],"&lt;="&amp;K$2, Tabla1[Fecha],"&gt;="&amp;K$2-Dashboard!$A$34),
IF($C$4=Dashboard!$A$21,AVERAGEIFS(Tabla1[DOMS],Tabla1[Nombre],Dashboard!$A$5,Tabla1[DOMS],"&lt;&gt;""",Tabla1[Fecha],"&lt;="&amp;K$2, Tabla1[Fecha],"&gt;="&amp;K$2-Dashboard!$A$34),
IF($C$5=Dashboard!$A$21,AVERAGEIFS(Tabla1[Energía],Tabla1[Nombre],Dashboard!$A$5,Tabla1[Energía],"&lt;&gt;""",Tabla1[Fecha],"&lt;="&amp;K$2, Tabla1[Fecha],"&gt;="&amp;K$2-Dashboard!$A$34),
IF($C$6=Dashboard!$A$21,AVERAGEIFS(Tabla1[Fatiga],Tabla1[Nombre],Dashboard!$A$5,Tabla1[Fatiga],"&lt;&gt;""",Tabla1[Fecha],"&lt;="&amp;K$2, Tabla1[Fecha],"&gt;="&amp;K$2-Dashboard!$A$34),
IF($C$7=Dashboard!$A$21,AVERAGEIFS(Tabla1[General],Tabla1[Nombre],Dashboard!$A$5,Tabla1[General],"&lt;&gt;""",Tabla1[Fecha],"&lt;="&amp;K$2, Tabla1[Fecha],"&gt;="&amp;K$2-Dashboard!$A$34),
IF($C$8=Dashboard!$A$21,AVERAGEIFS(Tabla1[Readiness],Tabla1[Nombre],Dashboard!$A$5,Tabla1[Readiness],"&lt;&gt;""",Tabla1[Fecha],"&lt;="&amp;K$2, Tabla1[Fecha],"&gt;="&amp;K$2-Dashboard!$A$34))))))))</f>
        <v>21</v>
      </c>
      <c r="L5" s="12">
        <f>IF($C$2=Dashboard!$A$21,AVERAGEIFS(Tabla1[Estrés],Tabla1[Nombre],Dashboard!$A$5,Tabla1[Estrés],"&lt;&gt;""",Tabla1[Fecha],"&lt;="&amp;L$2, Tabla1[Fecha],"&gt;="&amp;L$2-Dashboard!$A$34),
IF($C$3=Dashboard!$A$21,AVERAGEIFS(Tabla1[Sueño],Tabla1[Nombre],Dashboard!$A$5,Tabla1[Sueño],"&lt;&gt;""",Tabla1[Fecha],"&lt;="&amp;L$2, Tabla1[Fecha],"&gt;="&amp;L$2-Dashboard!$A$34),
IF($C$4=Dashboard!$A$21,AVERAGEIFS(Tabla1[DOMS],Tabla1[Nombre],Dashboard!$A$5,Tabla1[DOMS],"&lt;&gt;""",Tabla1[Fecha],"&lt;="&amp;L$2, Tabla1[Fecha],"&gt;="&amp;L$2-Dashboard!$A$34),
IF($C$5=Dashboard!$A$21,AVERAGEIFS(Tabla1[Energía],Tabla1[Nombre],Dashboard!$A$5,Tabla1[Energía],"&lt;&gt;""",Tabla1[Fecha],"&lt;="&amp;L$2, Tabla1[Fecha],"&gt;="&amp;L$2-Dashboard!$A$34),
IF($C$6=Dashboard!$A$21,AVERAGEIFS(Tabla1[Fatiga],Tabla1[Nombre],Dashboard!$A$5,Tabla1[Fatiga],"&lt;&gt;""",Tabla1[Fecha],"&lt;="&amp;L$2, Tabla1[Fecha],"&gt;="&amp;L$2-Dashboard!$A$34),
IF($C$7=Dashboard!$A$21,AVERAGEIFS(Tabla1[General],Tabla1[Nombre],Dashboard!$A$5,Tabla1[General],"&lt;&gt;""",Tabla1[Fecha],"&lt;="&amp;L$2, Tabla1[Fecha],"&gt;="&amp;L$2-Dashboard!$A$34),
IF($C$8=Dashboard!$A$21,AVERAGEIFS(Tabla1[Readiness],Tabla1[Nombre],Dashboard!$A$5,Tabla1[Readiness],"&lt;&gt;""",Tabla1[Fecha],"&lt;="&amp;L$2, Tabla1[Fecha],"&gt;="&amp;L$2-Dashboard!$A$34))))))))</f>
        <v>24</v>
      </c>
      <c r="M5" s="12">
        <f>IF($C$2=Dashboard!$A$21,AVERAGEIFS(Tabla1[Estrés],Tabla1[Nombre],Dashboard!$A$5,Tabla1[Estrés],"&lt;&gt;""",Tabla1[Fecha],"&lt;="&amp;M$2, Tabla1[Fecha],"&gt;="&amp;M$2-Dashboard!$A$34),
IF($C$3=Dashboard!$A$21,AVERAGEIFS(Tabla1[Sueño],Tabla1[Nombre],Dashboard!$A$5,Tabla1[Sueño],"&lt;&gt;""",Tabla1[Fecha],"&lt;="&amp;M$2, Tabla1[Fecha],"&gt;="&amp;M$2-Dashboard!$A$34),
IF($C$4=Dashboard!$A$21,AVERAGEIFS(Tabla1[DOMS],Tabla1[Nombre],Dashboard!$A$5,Tabla1[DOMS],"&lt;&gt;""",Tabla1[Fecha],"&lt;="&amp;M$2, Tabla1[Fecha],"&gt;="&amp;M$2-Dashboard!$A$34),
IF($C$5=Dashboard!$A$21,AVERAGEIFS(Tabla1[Energía],Tabla1[Nombre],Dashboard!$A$5,Tabla1[Energía],"&lt;&gt;""",Tabla1[Fecha],"&lt;="&amp;M$2, Tabla1[Fecha],"&gt;="&amp;M$2-Dashboard!$A$34),
IF($C$6=Dashboard!$A$21,AVERAGEIFS(Tabla1[Fatiga],Tabla1[Nombre],Dashboard!$A$5,Tabla1[Fatiga],"&lt;&gt;""",Tabla1[Fecha],"&lt;="&amp;M$2, Tabla1[Fecha],"&gt;="&amp;M$2-Dashboard!$A$34),
IF($C$7=Dashboard!$A$21,AVERAGEIFS(Tabla1[General],Tabla1[Nombre],Dashboard!$A$5,Tabla1[General],"&lt;&gt;""",Tabla1[Fecha],"&lt;="&amp;M$2, Tabla1[Fecha],"&gt;="&amp;M$2-Dashboard!$A$34),
IF($C$8=Dashboard!$A$21,AVERAGEIFS(Tabla1[Readiness],Tabla1[Nombre],Dashboard!$A$5,Tabla1[Readiness],"&lt;&gt;""",Tabla1[Fecha],"&lt;="&amp;M$2, Tabla1[Fecha],"&gt;="&amp;M$2-Dashboard!$A$34))))))))</f>
        <v>22</v>
      </c>
      <c r="N5" s="12">
        <f>IF($C$2=Dashboard!$A$21,AVERAGEIFS(Tabla1[Estrés],Tabla1[Nombre],Dashboard!$A$5,Tabla1[Estrés],"&lt;&gt;""",Tabla1[Fecha],"&lt;="&amp;N$2, Tabla1[Fecha],"&gt;="&amp;N$2-Dashboard!$A$34),
IF($C$3=Dashboard!$A$21,AVERAGEIFS(Tabla1[Sueño],Tabla1[Nombre],Dashboard!$A$5,Tabla1[Sueño],"&lt;&gt;""",Tabla1[Fecha],"&lt;="&amp;N$2, Tabla1[Fecha],"&gt;="&amp;N$2-Dashboard!$A$34),
IF($C$4=Dashboard!$A$21,AVERAGEIFS(Tabla1[DOMS],Tabla1[Nombre],Dashboard!$A$5,Tabla1[DOMS],"&lt;&gt;""",Tabla1[Fecha],"&lt;="&amp;N$2, Tabla1[Fecha],"&gt;="&amp;N$2-Dashboard!$A$34),
IF($C$5=Dashboard!$A$21,AVERAGEIFS(Tabla1[Energía],Tabla1[Nombre],Dashboard!$A$5,Tabla1[Energía],"&lt;&gt;""",Tabla1[Fecha],"&lt;="&amp;N$2, Tabla1[Fecha],"&gt;="&amp;N$2-Dashboard!$A$34),
IF($C$6=Dashboard!$A$21,AVERAGEIFS(Tabla1[Fatiga],Tabla1[Nombre],Dashboard!$A$5,Tabla1[Fatiga],"&lt;&gt;""",Tabla1[Fecha],"&lt;="&amp;N$2, Tabla1[Fecha],"&gt;="&amp;N$2-Dashboard!$A$34),
IF($C$7=Dashboard!$A$21,AVERAGEIFS(Tabla1[General],Tabla1[Nombre],Dashboard!$A$5,Tabla1[General],"&lt;&gt;""",Tabla1[Fecha],"&lt;="&amp;N$2, Tabla1[Fecha],"&gt;="&amp;N$2-Dashboard!$A$34),
IF($C$8=Dashboard!$A$21,AVERAGEIFS(Tabla1[Readiness],Tabla1[Nombre],Dashboard!$A$5,Tabla1[Readiness],"&lt;&gt;""",Tabla1[Fecha],"&lt;="&amp;N$2, Tabla1[Fecha],"&gt;="&amp;N$2-Dashboard!$A$34))))))))</f>
        <v>21</v>
      </c>
      <c r="O5" s="12">
        <f>IF($C$2=Dashboard!$A$21,AVERAGEIFS(Tabla1[Estrés],Tabla1[Nombre],Dashboard!$A$5,Tabla1[Estrés],"&lt;&gt;""",Tabla1[Fecha],"&lt;="&amp;O$2, Tabla1[Fecha],"&gt;="&amp;O$2-Dashboard!$A$34),
IF($C$3=Dashboard!$A$21,AVERAGEIFS(Tabla1[Sueño],Tabla1[Nombre],Dashboard!$A$5,Tabla1[Sueño],"&lt;&gt;""",Tabla1[Fecha],"&lt;="&amp;O$2, Tabla1[Fecha],"&gt;="&amp;O$2-Dashboard!$A$34),
IF($C$4=Dashboard!$A$21,AVERAGEIFS(Tabla1[DOMS],Tabla1[Nombre],Dashboard!$A$5,Tabla1[DOMS],"&lt;&gt;""",Tabla1[Fecha],"&lt;="&amp;O$2, Tabla1[Fecha],"&gt;="&amp;O$2-Dashboard!$A$34),
IF($C$5=Dashboard!$A$21,AVERAGEIFS(Tabla1[Energía],Tabla1[Nombre],Dashboard!$A$5,Tabla1[Energía],"&lt;&gt;""",Tabla1[Fecha],"&lt;="&amp;O$2, Tabla1[Fecha],"&gt;="&amp;O$2-Dashboard!$A$34),
IF($C$6=Dashboard!$A$21,AVERAGEIFS(Tabla1[Fatiga],Tabla1[Nombre],Dashboard!$A$5,Tabla1[Fatiga],"&lt;&gt;""",Tabla1[Fecha],"&lt;="&amp;O$2, Tabla1[Fecha],"&gt;="&amp;O$2-Dashboard!$A$34),
IF($C$7=Dashboard!$A$21,AVERAGEIFS(Tabla1[General],Tabla1[Nombre],Dashboard!$A$5,Tabla1[General],"&lt;&gt;""",Tabla1[Fecha],"&lt;="&amp;O$2, Tabla1[Fecha],"&gt;="&amp;O$2-Dashboard!$A$34),
IF($C$8=Dashboard!$A$21,AVERAGEIFS(Tabla1[Readiness],Tabla1[Nombre],Dashboard!$A$5,Tabla1[Readiness],"&lt;&gt;""",Tabla1[Fecha],"&lt;="&amp;O$2, Tabla1[Fecha],"&gt;="&amp;O$2-Dashboard!$A$34))))))))</f>
        <v>17</v>
      </c>
      <c r="Q5" s="22" t="s">
        <v>69</v>
      </c>
      <c r="S5" t="b">
        <f>IF(AND(Dashboard!$A$17&lt;1,Dashboard!$A$13=Ref!$A$4),Dashboard!$A$5&amp;" El"&amp;TEXT(Dashboard!$A$9," dd/mm")&amp;" Vs Media Diaria Del Puesto")</f>
        <v>0</v>
      </c>
      <c r="T5">
        <f t="shared" si="0"/>
        <v>0</v>
      </c>
    </row>
    <row r="6" spans="1:20" ht="15.75" customHeight="1">
      <c r="C6" s="2" t="s">
        <v>8</v>
      </c>
      <c r="D6" s="2"/>
      <c r="Q6" t="s">
        <v>70</v>
      </c>
      <c r="S6" t="str">
        <f>IF(AND(Dashboard!$A$17&gt;=M41,Dashboard!$A$13=Ref!$A$2),Dashboard!$A$5&amp;" El"&amp;TEXT(Dashboard!$A$9," dd/mm")&amp;" Vs Media Propia Entre El"&amp;TEXT(Dashboard!$A$9-Dashboard!$A$17," dd/mm")&amp;" Y "&amp;TEXT(Dashboard!$A$9,"dd/mm")&amp;" (Últimos "&amp;Dashboard!A17&amp;" Días)")</f>
        <v>Jugador 2 El 29/07 Vs Media Propia Entre El 22/07 Y 29/07 (Últimos 7 Días)</v>
      </c>
      <c r="T6">
        <f t="shared" si="0"/>
        <v>1</v>
      </c>
    </row>
    <row r="7" spans="1:20" ht="15.75" customHeight="1">
      <c r="C7" s="2" t="s">
        <v>9</v>
      </c>
      <c r="D7" s="2"/>
      <c r="Q7" t="s">
        <v>71</v>
      </c>
      <c r="S7" t="b">
        <f>IF(AND(Dashboard!$A$17&gt;=M42,Dashboard!$A$13=Ref!$A$3),Dashboard!$A$5&amp;" El"&amp;TEXT(Dashboard!$A$9," dd/mm")&amp;" Vs Media Del Deporte Entre El"&amp;TEXT(Dashboard!$A$9-Dashboard!$A$17," dd/mm")&amp;" Y "&amp;TEXT(Dashboard!$A$9,"dd/mm")&amp;" (Últimos "&amp;Dashboard!A17&amp;" Días)")</f>
        <v>0</v>
      </c>
      <c r="T7">
        <f t="shared" si="0"/>
        <v>0</v>
      </c>
    </row>
    <row r="8" spans="1:20" ht="15.75" customHeight="1">
      <c r="C8" s="3" t="s">
        <v>10</v>
      </c>
      <c r="D8" s="3"/>
      <c r="E8" t="s">
        <v>25</v>
      </c>
      <c r="Q8" t="s">
        <v>72</v>
      </c>
      <c r="S8" t="b">
        <f>IF(AND(Dashboard!$A$17&gt;=M43,Dashboard!$A$13=Ref!$A$4),Dashboard!$A$5&amp;" El"&amp;TEXT(Dashboard!$A$9," dd/mm")&amp;" Vs Media Del Puesto Entre El"&amp;TEXT(Dashboard!$A$9-Dashboard!$A$17," dd/mm")&amp;" Y "&amp;TEXT(Dashboard!$A$9,"dd/mm")&amp;" (Últimos "&amp;Dashboard!A17&amp;" Días)")</f>
        <v>0</v>
      </c>
      <c r="T8">
        <f t="shared" si="0"/>
        <v>0</v>
      </c>
    </row>
    <row r="10" spans="1:20" ht="15.75" customHeight="1">
      <c r="E10">
        <f>_xlfn.MINIFS(Tabla1[Readiness],Tabla1[Nombre], Dashboard!$A$5)</f>
        <v>14</v>
      </c>
      <c r="F10" t="s">
        <v>28</v>
      </c>
      <c r="G10">
        <f>AVERAGEIFS(Tabla1[Readiness], Tabla1[Nombre], Dashboard!$A$5, Tabla1[Fecha], Dashboard!$A$9)</f>
        <v>17</v>
      </c>
      <c r="Q10" t="str">
        <f>INDEX(S3:S8,MATCH(1,T3:T8,0))</f>
        <v>Jugador 2 El 29/07 Vs Media Propia Entre El 22/07 Y 29/07 (Últimos 7 Días)</v>
      </c>
    </row>
    <row r="11" spans="1:20" ht="15.75" customHeight="1">
      <c r="E11">
        <f>_xlfn.QUARTILE.INC(IF(Tabla1[Nombre]=Dashboard!$A$5, Tabla1[Readiness]),1)</f>
        <v>0</v>
      </c>
      <c r="F11" t="s">
        <v>26</v>
      </c>
    </row>
    <row r="12" spans="1:20" ht="15.75" customHeight="1">
      <c r="E12">
        <f>_xlfn.QUARTILE.INC(IF(Tabla1[Nombre]=Dashboard!$A$5, Tabla1[Readiness]),2)</f>
        <v>0</v>
      </c>
      <c r="F12" t="s">
        <v>29</v>
      </c>
      <c r="G12" s="15">
        <f>AVERAGEIFS(Tabla1[Readiness], Tabla1[Nombre], Dashboard!$A$5, Tabla1[Fecha], Dashboard!$A$9)/E14</f>
        <v>0.70833333333333337</v>
      </c>
      <c r="H12">
        <v>0.03</v>
      </c>
      <c r="I12" s="16">
        <f>2-SUM(G12:H12)</f>
        <v>1.2616666666666667</v>
      </c>
    </row>
    <row r="13" spans="1:20" ht="15.75" customHeight="1">
      <c r="E13">
        <f>_xlfn.QUARTILE.INC(IF(Tabla1[Nombre]=Dashboard!$A$5, Tabla1[Readiness]),3)</f>
        <v>0</v>
      </c>
      <c r="F13" t="s">
        <v>30</v>
      </c>
    </row>
    <row r="14" spans="1:20" ht="15.75" customHeight="1">
      <c r="E14">
        <f>_xlfn.MAXIFS(Tabla1[Readiness],Tabla1[Nombre], Dashboard!$A$5)</f>
        <v>24</v>
      </c>
      <c r="F14" t="s">
        <v>27</v>
      </c>
    </row>
    <row r="18" spans="5:15" ht="15.75" customHeight="1">
      <c r="E18" s="24" t="s">
        <v>73</v>
      </c>
      <c r="F18" s="24"/>
      <c r="G18" s="23"/>
      <c r="H18" s="23"/>
      <c r="I18" s="23"/>
      <c r="J18" s="23"/>
      <c r="K18" s="23"/>
      <c r="L18" s="23"/>
      <c r="M18" s="23"/>
      <c r="N18" s="23"/>
      <c r="O18" s="23"/>
    </row>
    <row r="19" spans="5:15" ht="15.75" customHeight="1">
      <c r="E19" s="22" t="s">
        <v>0</v>
      </c>
      <c r="F19" s="11">
        <f>IF(OR(_xlfn.MINIFS(Tabla1[Fecha],Tabla1[Nombre],Dashboard!$A$5)=Ref!G19,Ref!G19=""),"",_xlfn.MAXIFS(Tabla1[Fecha],Tabla1[Nombre],Dashboard!$A$5,Tabla1[Fecha],"&lt;"&amp;Ref!G19))</f>
        <v>44393</v>
      </c>
      <c r="G19" s="11">
        <f>IF(OR(_xlfn.MINIFS(Tabla1[Fecha],Tabla1[Nombre],Dashboard!$A$5)=Ref!H19,Ref!H19=""),"",_xlfn.MAXIFS(Tabla1[Fecha],Tabla1[Nombre],Dashboard!$A$5,Tabla1[Fecha],"&lt;"&amp;Ref!H19))</f>
        <v>44396</v>
      </c>
      <c r="H19" s="11">
        <f>IF(OR(_xlfn.MINIFS(Tabla1[Fecha],Tabla1[Nombre],Dashboard!$A$5)=Ref!I19,Ref!I19=""),"",_xlfn.MAXIFS(Tabla1[Fecha],Tabla1[Nombre],Dashboard!$A$5,Tabla1[Fecha],"&lt;"&amp;Ref!I19))</f>
        <v>44397</v>
      </c>
      <c r="I19" s="11">
        <f>IF(OR(_xlfn.MINIFS(Tabla1[Fecha],Tabla1[Nombre],Dashboard!$A$5)=Ref!J19,Ref!J19=""),"",_xlfn.MAXIFS(Tabla1[Fecha],Tabla1[Nombre],Dashboard!$A$5,Tabla1[Fecha],"&lt;"&amp;Ref!J19))</f>
        <v>44398</v>
      </c>
      <c r="J19" s="11">
        <f>IF(OR(_xlfn.MINIFS(Tabla1[Fecha],Tabla1[Nombre],Dashboard!$A$5)=Ref!K19,Ref!K19=""),"",_xlfn.MAXIFS(Tabla1[Fecha],Tabla1[Nombre],Dashboard!$A$5,Tabla1[Fecha],"&lt;"&amp;Ref!K19))</f>
        <v>44399</v>
      </c>
      <c r="K19" s="11">
        <f>IF(OR(_xlfn.MINIFS(Tabla1[Fecha],Tabla1[Nombre],Dashboard!$A$5)=Ref!L19,Ref!L19=""),"",_xlfn.MAXIFS(Tabla1[Fecha],Tabla1[Nombre],Dashboard!$A$5,Tabla1[Fecha],"&lt;"&amp;Ref!L19))</f>
        <v>44400</v>
      </c>
      <c r="L19" s="11">
        <f>IF(OR(_xlfn.MINIFS(Tabla1[Fecha],Tabla1[Nombre],Dashboard!$A$5)=Ref!M19,Ref!M19=""),"",_xlfn.MAXIFS(Tabla1[Fecha],Tabla1[Nombre],Dashboard!$A$5,Tabla1[Fecha],"&lt;"&amp;Ref!M19))</f>
        <v>44401</v>
      </c>
      <c r="M19" s="11">
        <f>IF(OR(_xlfn.MINIFS(Tabla1[Fecha],Tabla1[Nombre],Dashboard!$A$5)=Ref!N19,Ref!N19=""),"",_xlfn.MAXIFS(Tabla1[Fecha],Tabla1[Nombre],Dashboard!$A$5,Tabla1[Fecha],"&lt;"&amp;Ref!N19))</f>
        <v>44403</v>
      </c>
      <c r="N19" s="11">
        <f>IF(OR(_xlfn.MINIFS(Tabla1[Fecha],Tabla1[Nombre],Dashboard!$A$5)=Ref!O19,Ref!O19=""),"",_xlfn.MAXIFS(Tabla1[Fecha],Tabla1[Nombre],Dashboard!$A$5,Tabla1[Fecha],"&lt;"&amp;Ref!O19))</f>
        <v>44405</v>
      </c>
      <c r="O19" s="11">
        <f>Dashboard!$A$25</f>
        <v>44406</v>
      </c>
    </row>
    <row r="20" spans="5:15" ht="15.75" customHeight="1">
      <c r="E20" t="s">
        <v>20</v>
      </c>
      <c r="F20">
        <f>IF($C$2=Dashboard!$A$21,AVERAGEIFS(Tabla1[Estrés],Tabla1[Nombre],Dashboard!$A$5,Tabla1[Estrés],"&lt;&gt;""",Tabla1[Fecha],F$2),
IF($C$3=Dashboard!$A$21,AVERAGEIFS(Tabla1[Sueño],Tabla1[Nombre],Dashboard!$A$5,Tabla1[Estrés],"&lt;&gt;""",Tabla1[Fecha],F$2),
IF($C$4=Dashboard!$A$21,AVERAGEIFS(Tabla1[DOMS],Tabla1[Nombre],Dashboard!$A$5,Tabla1[Estrés],"&lt;&gt;""",Tabla1[Fecha],F$2),
IF($C$5=Dashboard!$A$21,AVERAGEIFS(Tabla1[Energía],Tabla1[Nombre],Dashboard!$A$5,Tabla1[Estrés],"&lt;&gt;""",Tabla1[Fecha],F$2),
IF($C$6=Dashboard!$A$21,AVERAGEIFS(Tabla1[Fatiga],Tabla1[Nombre],Dashboard!$A$5,Tabla1[Estrés],"&lt;&gt;""",Tabla1[Fecha],F$2),
IF($C$7=Dashboard!$A$21,AVERAGEIFS(Tabla1[General],Tabla1[Nombre],Dashboard!$A$5,Tabla1[Estrés],"&lt;&gt;""",Tabla1[Fecha],F$2),
IF($C$8=Dashboard!$A$21,AVERAGEIFS(Tabla1[Readiness],Tabla1[Nombre],Dashboard!$A$5,Tabla1[Estrés],"&lt;&gt;""",Tabla1[Fecha],F$2))))))))</f>
        <v>22</v>
      </c>
      <c r="G20">
        <f>IF($C$2=Dashboard!$A$21,AVERAGEIFS(Tabla1[Estrés],Tabla1[Nombre],Dashboard!$A$5,Tabla1[Estrés],"&lt;&gt;""",Tabla1[Fecha],G$2),
IF($C$3=Dashboard!$A$21,AVERAGEIFS(Tabla1[Sueño],Tabla1[Nombre],Dashboard!$A$5,Tabla1[Estrés],"&lt;&gt;""",Tabla1[Fecha],G$2),
IF($C$4=Dashboard!$A$21,AVERAGEIFS(Tabla1[DOMS],Tabla1[Nombre],Dashboard!$A$5,Tabla1[Estrés],"&lt;&gt;""",Tabla1[Fecha],G$2),
IF($C$5=Dashboard!$A$21,AVERAGEIFS(Tabla1[Energía],Tabla1[Nombre],Dashboard!$A$5,Tabla1[Estrés],"&lt;&gt;""",Tabla1[Fecha],G$2),
IF($C$6=Dashboard!$A$21,AVERAGEIFS(Tabla1[Fatiga],Tabla1[Nombre],Dashboard!$A$5,Tabla1[Estrés],"&lt;&gt;""",Tabla1[Fecha],G$2),
IF($C$7=Dashboard!$A$21,AVERAGEIFS(Tabla1[General],Tabla1[Nombre],Dashboard!$A$5,Tabla1[Estrés],"&lt;&gt;""",Tabla1[Fecha],G$2),
IF($C$8=Dashboard!$A$21,AVERAGEIFS(Tabla1[Readiness],Tabla1[Nombre],Dashboard!$A$5,Tabla1[Estrés],"&lt;&gt;""",Tabla1[Fecha],G$2))))))))</f>
        <v>23</v>
      </c>
      <c r="H20">
        <f>IF($C$2=Dashboard!$A$21,AVERAGEIFS(Tabla1[Estrés],Tabla1[Nombre],Dashboard!$A$5,Tabla1[Estrés],"&lt;&gt;""",Tabla1[Fecha],H$2),
IF($C$3=Dashboard!$A$21,AVERAGEIFS(Tabla1[Sueño],Tabla1[Nombre],Dashboard!$A$5,Tabla1[Estrés],"&lt;&gt;""",Tabla1[Fecha],H$2),
IF($C$4=Dashboard!$A$21,AVERAGEIFS(Tabla1[DOMS],Tabla1[Nombre],Dashboard!$A$5,Tabla1[Estrés],"&lt;&gt;""",Tabla1[Fecha],H$2),
IF($C$5=Dashboard!$A$21,AVERAGEIFS(Tabla1[Energía],Tabla1[Nombre],Dashboard!$A$5,Tabla1[Estrés],"&lt;&gt;""",Tabla1[Fecha],H$2),
IF($C$6=Dashboard!$A$21,AVERAGEIFS(Tabla1[Fatiga],Tabla1[Nombre],Dashboard!$A$5,Tabla1[Estrés],"&lt;&gt;""",Tabla1[Fecha],H$2),
IF($C$7=Dashboard!$A$21,AVERAGEIFS(Tabla1[General],Tabla1[Nombre],Dashboard!$A$5,Tabla1[Estrés],"&lt;&gt;""",Tabla1[Fecha],H$2),
IF($C$8=Dashboard!$A$21,AVERAGEIFS(Tabla1[Readiness],Tabla1[Nombre],Dashboard!$A$5,Tabla1[Estrés],"&lt;&gt;""",Tabla1[Fecha],H$2))))))))</f>
        <v>21</v>
      </c>
      <c r="I20">
        <f>IF($C$2=Dashboard!$A$21,AVERAGEIFS(Tabla1[Estrés],Tabla1[Nombre],Dashboard!$A$5,Tabla1[Estrés],"&lt;&gt;""",Tabla1[Fecha],I$2),
IF($C$3=Dashboard!$A$21,AVERAGEIFS(Tabla1[Sueño],Tabla1[Nombre],Dashboard!$A$5,Tabla1[Estrés],"&lt;&gt;""",Tabla1[Fecha],I$2),
IF($C$4=Dashboard!$A$21,AVERAGEIFS(Tabla1[DOMS],Tabla1[Nombre],Dashboard!$A$5,Tabla1[Estrés],"&lt;&gt;""",Tabla1[Fecha],I$2),
IF($C$5=Dashboard!$A$21,AVERAGEIFS(Tabla1[Energía],Tabla1[Nombre],Dashboard!$A$5,Tabla1[Estrés],"&lt;&gt;""",Tabla1[Fecha],I$2),
IF($C$6=Dashboard!$A$21,AVERAGEIFS(Tabla1[Fatiga],Tabla1[Nombre],Dashboard!$A$5,Tabla1[Estrés],"&lt;&gt;""",Tabla1[Fecha],I$2),
IF($C$7=Dashboard!$A$21,AVERAGEIFS(Tabla1[General],Tabla1[Nombre],Dashboard!$A$5,Tabla1[Estrés],"&lt;&gt;""",Tabla1[Fecha],I$2),
IF($C$8=Dashboard!$A$21,AVERAGEIFS(Tabla1[Readiness],Tabla1[Nombre],Dashboard!$A$5,Tabla1[Estrés],"&lt;&gt;""",Tabla1[Fecha],I$2))))))))</f>
        <v>22</v>
      </c>
      <c r="J20">
        <f>IF($C$2=Dashboard!$A$21,AVERAGEIFS(Tabla1[Estrés],Tabla1[Nombre],Dashboard!$A$5,Tabla1[Estrés],"&lt;&gt;""",Tabla1[Fecha],J$2),
IF($C$3=Dashboard!$A$21,AVERAGEIFS(Tabla1[Sueño],Tabla1[Nombre],Dashboard!$A$5,Tabla1[Estrés],"&lt;&gt;""",Tabla1[Fecha],J$2),
IF($C$4=Dashboard!$A$21,AVERAGEIFS(Tabla1[DOMS],Tabla1[Nombre],Dashboard!$A$5,Tabla1[Estrés],"&lt;&gt;""",Tabla1[Fecha],J$2),
IF($C$5=Dashboard!$A$21,AVERAGEIFS(Tabla1[Energía],Tabla1[Nombre],Dashboard!$A$5,Tabla1[Estrés],"&lt;&gt;""",Tabla1[Fecha],J$2),
IF($C$6=Dashboard!$A$21,AVERAGEIFS(Tabla1[Fatiga],Tabla1[Nombre],Dashboard!$A$5,Tabla1[Estrés],"&lt;&gt;""",Tabla1[Fecha],J$2),
IF($C$7=Dashboard!$A$21,AVERAGEIFS(Tabla1[General],Tabla1[Nombre],Dashboard!$A$5,Tabla1[Estrés],"&lt;&gt;""",Tabla1[Fecha],J$2),
IF($C$8=Dashboard!$A$21,AVERAGEIFS(Tabla1[Readiness],Tabla1[Nombre],Dashboard!$A$5,Tabla1[Estrés],"&lt;&gt;""",Tabla1[Fecha],J$2))))))))</f>
        <v>17</v>
      </c>
      <c r="K20">
        <f>IF($C$2=Dashboard!$A$21,AVERAGEIFS(Tabla1[Estrés],Tabla1[Nombre],Dashboard!$A$5,Tabla1[Estrés],"&lt;&gt;""",Tabla1[Fecha],K$2),
IF($C$3=Dashboard!$A$21,AVERAGEIFS(Tabla1[Sueño],Tabla1[Nombre],Dashboard!$A$5,Tabla1[Estrés],"&lt;&gt;""",Tabla1[Fecha],K$2),
IF($C$4=Dashboard!$A$21,AVERAGEIFS(Tabla1[DOMS],Tabla1[Nombre],Dashboard!$A$5,Tabla1[Estrés],"&lt;&gt;""",Tabla1[Fecha],K$2),
IF($C$5=Dashboard!$A$21,AVERAGEIFS(Tabla1[Energía],Tabla1[Nombre],Dashboard!$A$5,Tabla1[Estrés],"&lt;&gt;""",Tabla1[Fecha],K$2),
IF($C$6=Dashboard!$A$21,AVERAGEIFS(Tabla1[Fatiga],Tabla1[Nombre],Dashboard!$A$5,Tabla1[Estrés],"&lt;&gt;""",Tabla1[Fecha],K$2),
IF($C$7=Dashboard!$A$21,AVERAGEIFS(Tabla1[General],Tabla1[Nombre],Dashboard!$A$5,Tabla1[Estrés],"&lt;&gt;""",Tabla1[Fecha],K$2),
IF($C$8=Dashboard!$A$21,AVERAGEIFS(Tabla1[Readiness],Tabla1[Nombre],Dashboard!$A$5,Tabla1[Estrés],"&lt;&gt;""",Tabla1[Fecha],K$2))))))))</f>
        <v>21</v>
      </c>
      <c r="L20">
        <f>IF($C$2=Dashboard!$A$21,AVERAGEIFS(Tabla1[Estrés],Tabla1[Nombre],Dashboard!$A$5,Tabla1[Estrés],"&lt;&gt;""",Tabla1[Fecha],L$2),
IF($C$3=Dashboard!$A$21,AVERAGEIFS(Tabla1[Sueño],Tabla1[Nombre],Dashboard!$A$5,Tabla1[Estrés],"&lt;&gt;""",Tabla1[Fecha],L$2),
IF($C$4=Dashboard!$A$21,AVERAGEIFS(Tabla1[DOMS],Tabla1[Nombre],Dashboard!$A$5,Tabla1[Estrés],"&lt;&gt;""",Tabla1[Fecha],L$2),
IF($C$5=Dashboard!$A$21,AVERAGEIFS(Tabla1[Energía],Tabla1[Nombre],Dashboard!$A$5,Tabla1[Estrés],"&lt;&gt;""",Tabla1[Fecha],L$2),
IF($C$6=Dashboard!$A$21,AVERAGEIFS(Tabla1[Fatiga],Tabla1[Nombre],Dashboard!$A$5,Tabla1[Estrés],"&lt;&gt;""",Tabla1[Fecha],L$2),
IF($C$7=Dashboard!$A$21,AVERAGEIFS(Tabla1[General],Tabla1[Nombre],Dashboard!$A$5,Tabla1[Estrés],"&lt;&gt;""",Tabla1[Fecha],L$2),
IF($C$8=Dashboard!$A$21,AVERAGEIFS(Tabla1[Readiness],Tabla1[Nombre],Dashboard!$A$5,Tabla1[Estrés],"&lt;&gt;""",Tabla1[Fecha],L$2))))))))</f>
        <v>24</v>
      </c>
      <c r="M20">
        <f>IF($C$2=Dashboard!$A$21,AVERAGEIFS(Tabla1[Estrés],Tabla1[Nombre],Dashboard!$A$5,Tabla1[Estrés],"&lt;&gt;""",Tabla1[Fecha],M$2),
IF($C$3=Dashboard!$A$21,AVERAGEIFS(Tabla1[Sueño],Tabla1[Nombre],Dashboard!$A$5,Tabla1[Estrés],"&lt;&gt;""",Tabla1[Fecha],M$2),
IF($C$4=Dashboard!$A$21,AVERAGEIFS(Tabla1[DOMS],Tabla1[Nombre],Dashboard!$A$5,Tabla1[Estrés],"&lt;&gt;""",Tabla1[Fecha],M$2),
IF($C$5=Dashboard!$A$21,AVERAGEIFS(Tabla1[Energía],Tabla1[Nombre],Dashboard!$A$5,Tabla1[Estrés],"&lt;&gt;""",Tabla1[Fecha],M$2),
IF($C$6=Dashboard!$A$21,AVERAGEIFS(Tabla1[Fatiga],Tabla1[Nombre],Dashboard!$A$5,Tabla1[Estrés],"&lt;&gt;""",Tabla1[Fecha],M$2),
IF($C$7=Dashboard!$A$21,AVERAGEIFS(Tabla1[General],Tabla1[Nombre],Dashboard!$A$5,Tabla1[Estrés],"&lt;&gt;""",Tabla1[Fecha],M$2),
IF($C$8=Dashboard!$A$21,AVERAGEIFS(Tabla1[Readiness],Tabla1[Nombre],Dashboard!$A$5,Tabla1[Estrés],"&lt;&gt;""",Tabla1[Fecha],M$2))))))))</f>
        <v>22</v>
      </c>
      <c r="N20">
        <f>IF($C$2=Dashboard!$A$21,AVERAGEIFS(Tabla1[Estrés],Tabla1[Nombre],Dashboard!$A$5,Tabla1[Estrés],"&lt;&gt;""",Tabla1[Fecha],N$2),
IF($C$3=Dashboard!$A$21,AVERAGEIFS(Tabla1[Sueño],Tabla1[Nombre],Dashboard!$A$5,Tabla1[Estrés],"&lt;&gt;""",Tabla1[Fecha],N$2),
IF($C$4=Dashboard!$A$21,AVERAGEIFS(Tabla1[DOMS],Tabla1[Nombre],Dashboard!$A$5,Tabla1[Estrés],"&lt;&gt;""",Tabla1[Fecha],N$2),
IF($C$5=Dashboard!$A$21,AVERAGEIFS(Tabla1[Energía],Tabla1[Nombre],Dashboard!$A$5,Tabla1[Estrés],"&lt;&gt;""",Tabla1[Fecha],N$2),
IF($C$6=Dashboard!$A$21,AVERAGEIFS(Tabla1[Fatiga],Tabla1[Nombre],Dashboard!$A$5,Tabla1[Estrés],"&lt;&gt;""",Tabla1[Fecha],N$2),
IF($C$7=Dashboard!$A$21,AVERAGEIFS(Tabla1[General],Tabla1[Nombre],Dashboard!$A$5,Tabla1[Estrés],"&lt;&gt;""",Tabla1[Fecha],N$2),
IF($C$8=Dashboard!$A$21,AVERAGEIFS(Tabla1[Readiness],Tabla1[Nombre],Dashboard!$A$5,Tabla1[Estrés],"&lt;&gt;""",Tabla1[Fecha],N$2))))))))</f>
        <v>21</v>
      </c>
      <c r="O20">
        <f>IF($C$2=Dashboard!$A$21,AVERAGEIFS(Tabla1[Estrés],Tabla1[Nombre],Dashboard!$A$5,Tabla1[Estrés],"&lt;&gt;""",Tabla1[Fecha],O$2),
IF($C$3=Dashboard!$A$21,AVERAGEIFS(Tabla1[Sueño],Tabla1[Nombre],Dashboard!$A$5,Tabla1[Estrés],"&lt;&gt;""",Tabla1[Fecha],O$2),
IF($C$4=Dashboard!$A$21,AVERAGEIFS(Tabla1[DOMS],Tabla1[Nombre],Dashboard!$A$5,Tabla1[Estrés],"&lt;&gt;""",Tabla1[Fecha],O$2),
IF($C$5=Dashboard!$A$21,AVERAGEIFS(Tabla1[Energía],Tabla1[Nombre],Dashboard!$A$5,Tabla1[Estrés],"&lt;&gt;""",Tabla1[Fecha],O$2),
IF($C$6=Dashboard!$A$21,AVERAGEIFS(Tabla1[Fatiga],Tabla1[Nombre],Dashboard!$A$5,Tabla1[Estrés],"&lt;&gt;""",Tabla1[Fecha],O$2),
IF($C$7=Dashboard!$A$21,AVERAGEIFS(Tabla1[General],Tabla1[Nombre],Dashboard!$A$5,Tabla1[Estrés],"&lt;&gt;""",Tabla1[Fecha],O$2),
IF($C$8=Dashboard!$A$21,AVERAGEIFS(Tabla1[Readiness],Tabla1[Nombre],Dashboard!$A$5,Tabla1[Estrés],"&lt;&gt;""",Tabla1[Fecha],O$2))))))))</f>
        <v>17</v>
      </c>
    </row>
    <row r="21" spans="5:15" ht="15.75" customHeight="1">
      <c r="E21" s="63" t="s">
        <v>74</v>
      </c>
      <c r="F21" s="12">
        <f>IF($C$2=Dashboard!$A$21,AVERAGEIFS(Tabla1[Estrés],Tabla1[Nombre],Dashboard!$A$5,Tabla1[Estrés],"&lt;&gt;""",Tabla1[Fecha],"&lt;="&amp;F$2, Tabla1[Fecha],"&gt;="&amp;F$2-Dashboard!$A$29),
IF($C$3=Dashboard!$A$21,AVERAGEIFS(Tabla1[Sueño],Tabla1[Nombre],Dashboard!$A$5,Tabla1[Sueño],"&lt;&gt;""",Tabla1[Fecha],"&lt;="&amp;F$2, Tabla1[Fecha],"&gt;="&amp;F$2-Dashboard!$A$29),
IF($C$4=Dashboard!$A$21,AVERAGEIFS(Tabla1[DOMS],Tabla1[Nombre],Dashboard!$A$5,Tabla1[DOMS],"&lt;&gt;""",Tabla1[Fecha],"&lt;="&amp;F$2, Tabla1[Fecha],"&gt;="&amp;F$2-Dashboard!$A$29),
IF($C$5=Dashboard!$A$21,AVERAGEIFS(Tabla1[Energía],Tabla1[Nombre],Dashboard!$A$5,Tabla1[Energía],"&lt;&gt;""",Tabla1[Fecha],"&lt;="&amp;F$2, Tabla1[Fecha],"&gt;="&amp;F$2-Dashboard!$A$29),
IF($C$6=Dashboard!$A$21,AVERAGEIFS(Tabla1[Fatiga],Tabla1[Nombre],Dashboard!$A$5,Tabla1[Fatiga],"&lt;&gt;""",Tabla1[Fecha],"&lt;="&amp;F$2, Tabla1[Fecha],"&gt;="&amp;F$2-Dashboard!$A$29),
IF($C$7=Dashboard!$A$21,AVERAGEIFS(Tabla1[General],Tabla1[Nombre],Dashboard!$A$5,Tabla1[General],"&lt;&gt;""",Tabla1[Fecha],"&lt;="&amp;F$2, Tabla1[Fecha],"&gt;="&amp;F$2-Dashboard!$A$29),
IF($C$8=Dashboard!$A$21,AVERAGEIFS(Tabla1[Readiness],Tabla1[Nombre],Dashboard!$A$5,Tabla1[Readiness],"&lt;&gt;""",Tabla1[Fecha],"&lt;="&amp;F$2, Tabla1[Fecha],"&gt;="&amp;F$2-Dashboard!$A$29))))))))</f>
        <v>20.399999999999999</v>
      </c>
      <c r="G21" s="12">
        <f>IF($C$2=Dashboard!$A$21,AVERAGEIFS(Tabla1[Estrés],Tabla1[Nombre],Dashboard!$A$5,Tabla1[Estrés],"&lt;&gt;""",Tabla1[Fecha],"&lt;="&amp;G$2, Tabla1[Fecha],"&gt;="&amp;G$2-Dashboard!$A$29),
IF($C$3=Dashboard!$A$21,AVERAGEIFS(Tabla1[Sueño],Tabla1[Nombre],Dashboard!$A$5,Tabla1[Sueño],"&lt;&gt;""",Tabla1[Fecha],"&lt;="&amp;G$2, Tabla1[Fecha],"&gt;="&amp;G$2-Dashboard!$A$29),
IF($C$4=Dashboard!$A$21,AVERAGEIFS(Tabla1[DOMS],Tabla1[Nombre],Dashboard!$A$5,Tabla1[DOMS],"&lt;&gt;""",Tabla1[Fecha],"&lt;="&amp;G$2, Tabla1[Fecha],"&gt;="&amp;G$2-Dashboard!$A$29),
IF($C$5=Dashboard!$A$21,AVERAGEIFS(Tabla1[Energía],Tabla1[Nombre],Dashboard!$A$5,Tabla1[Energía],"&lt;&gt;""",Tabla1[Fecha],"&lt;="&amp;G$2, Tabla1[Fecha],"&gt;="&amp;G$2-Dashboard!$A$29),
IF($C$6=Dashboard!$A$21,AVERAGEIFS(Tabla1[Fatiga],Tabla1[Nombre],Dashboard!$A$5,Tabla1[Fatiga],"&lt;&gt;""",Tabla1[Fecha],"&lt;="&amp;G$2, Tabla1[Fecha],"&gt;="&amp;G$2-Dashboard!$A$29),
IF($C$7=Dashboard!$A$21,AVERAGEIFS(Tabla1[General],Tabla1[Nombre],Dashboard!$A$5,Tabla1[General],"&lt;&gt;""",Tabla1[Fecha],"&lt;="&amp;G$2, Tabla1[Fecha],"&gt;="&amp;G$2-Dashboard!$A$29),
IF($C$8=Dashboard!$A$21,AVERAGEIFS(Tabla1[Readiness],Tabla1[Nombre],Dashboard!$A$5,Tabla1[Readiness],"&lt;&gt;""",Tabla1[Fecha],"&lt;="&amp;G$2, Tabla1[Fecha],"&gt;="&amp;G$2-Dashboard!$A$29))))))))</f>
        <v>20.833333333333332</v>
      </c>
      <c r="H21" s="12">
        <f>IF($C$2=Dashboard!$A$21,AVERAGEIFS(Tabla1[Estrés],Tabla1[Nombre],Dashboard!$A$5,Tabla1[Estrés],"&lt;&gt;""",Tabla1[Fecha],"&lt;="&amp;H$2, Tabla1[Fecha],"&gt;="&amp;H$2-Dashboard!$A$29),
IF($C$3=Dashboard!$A$21,AVERAGEIFS(Tabla1[Sueño],Tabla1[Nombre],Dashboard!$A$5,Tabla1[Sueño],"&lt;&gt;""",Tabla1[Fecha],"&lt;="&amp;H$2, Tabla1[Fecha],"&gt;="&amp;H$2-Dashboard!$A$29),
IF($C$4=Dashboard!$A$21,AVERAGEIFS(Tabla1[DOMS],Tabla1[Nombre],Dashboard!$A$5,Tabla1[DOMS],"&lt;&gt;""",Tabla1[Fecha],"&lt;="&amp;H$2, Tabla1[Fecha],"&gt;="&amp;H$2-Dashboard!$A$29),
IF($C$5=Dashboard!$A$21,AVERAGEIFS(Tabla1[Energía],Tabla1[Nombre],Dashboard!$A$5,Tabla1[Energía],"&lt;&gt;""",Tabla1[Fecha],"&lt;="&amp;H$2, Tabla1[Fecha],"&gt;="&amp;H$2-Dashboard!$A$29),
IF($C$6=Dashboard!$A$21,AVERAGEIFS(Tabla1[Fatiga],Tabla1[Nombre],Dashboard!$A$5,Tabla1[Fatiga],"&lt;&gt;""",Tabla1[Fecha],"&lt;="&amp;H$2, Tabla1[Fecha],"&gt;="&amp;H$2-Dashboard!$A$29),
IF($C$7=Dashboard!$A$21,AVERAGEIFS(Tabla1[General],Tabla1[Nombre],Dashboard!$A$5,Tabla1[General],"&lt;&gt;""",Tabla1[Fecha],"&lt;="&amp;H$2, Tabla1[Fecha],"&gt;="&amp;H$2-Dashboard!$A$29),
IF($C$8=Dashboard!$A$21,AVERAGEIFS(Tabla1[Readiness],Tabla1[Nombre],Dashboard!$A$5,Tabla1[Readiness],"&lt;&gt;""",Tabla1[Fecha],"&lt;="&amp;H$2, Tabla1[Fecha],"&gt;="&amp;H$2-Dashboard!$A$29))))))))</f>
        <v>20.333333333333332</v>
      </c>
      <c r="I21" s="12">
        <f>IF($C$2=Dashboard!$A$21,AVERAGEIFS(Tabla1[Estrés],Tabla1[Nombre],Dashboard!$A$5,Tabla1[Estrés],"&lt;&gt;""",Tabla1[Fecha],"&lt;="&amp;I$2, Tabla1[Fecha],"&gt;="&amp;I$2-Dashboard!$A$29),
IF($C$3=Dashboard!$A$21,AVERAGEIFS(Tabla1[Sueño],Tabla1[Nombre],Dashboard!$A$5,Tabla1[Sueño],"&lt;&gt;""",Tabla1[Fecha],"&lt;="&amp;I$2, Tabla1[Fecha],"&gt;="&amp;I$2-Dashboard!$A$29),
IF($C$4=Dashboard!$A$21,AVERAGEIFS(Tabla1[DOMS],Tabla1[Nombre],Dashboard!$A$5,Tabla1[DOMS],"&lt;&gt;""",Tabla1[Fecha],"&lt;="&amp;I$2, Tabla1[Fecha],"&gt;="&amp;I$2-Dashboard!$A$29),
IF($C$5=Dashboard!$A$21,AVERAGEIFS(Tabla1[Energía],Tabla1[Nombre],Dashboard!$A$5,Tabla1[Energía],"&lt;&gt;""",Tabla1[Fecha],"&lt;="&amp;I$2, Tabla1[Fecha],"&gt;="&amp;I$2-Dashboard!$A$29),
IF($C$6=Dashboard!$A$21,AVERAGEIFS(Tabla1[Fatiga],Tabla1[Nombre],Dashboard!$A$5,Tabla1[Fatiga],"&lt;&gt;""",Tabla1[Fecha],"&lt;="&amp;I$2, Tabla1[Fecha],"&gt;="&amp;I$2-Dashboard!$A$29),
IF($C$7=Dashboard!$A$21,AVERAGEIFS(Tabla1[General],Tabla1[Nombre],Dashboard!$A$5,Tabla1[General],"&lt;&gt;""",Tabla1[Fecha],"&lt;="&amp;I$2, Tabla1[Fecha],"&gt;="&amp;I$2-Dashboard!$A$29),
IF($C$8=Dashboard!$A$21,AVERAGEIFS(Tabla1[Readiness],Tabla1[Nombre],Dashboard!$A$5,Tabla1[Readiness],"&lt;&gt;""",Tabla1[Fecha],"&lt;="&amp;I$2, Tabla1[Fecha],"&gt;="&amp;I$2-Dashboard!$A$29))))))))</f>
        <v>20.833333333333332</v>
      </c>
      <c r="J21" s="12">
        <f>IF($C$2=Dashboard!$A$21,AVERAGEIFS(Tabla1[Estrés],Tabla1[Nombre],Dashboard!$A$5,Tabla1[Estrés],"&lt;&gt;""",Tabla1[Fecha],"&lt;="&amp;J$2, Tabla1[Fecha],"&gt;="&amp;J$2-Dashboard!$A$29),
IF($C$3=Dashboard!$A$21,AVERAGEIFS(Tabla1[Sueño],Tabla1[Nombre],Dashboard!$A$5,Tabla1[Sueño],"&lt;&gt;""",Tabla1[Fecha],"&lt;="&amp;J$2, Tabla1[Fecha],"&gt;="&amp;J$2-Dashboard!$A$29),
IF($C$4=Dashboard!$A$21,AVERAGEIFS(Tabla1[DOMS],Tabla1[Nombre],Dashboard!$A$5,Tabla1[DOMS],"&lt;&gt;""",Tabla1[Fecha],"&lt;="&amp;J$2, Tabla1[Fecha],"&gt;="&amp;J$2-Dashboard!$A$29),
IF($C$5=Dashboard!$A$21,AVERAGEIFS(Tabla1[Energía],Tabla1[Nombre],Dashboard!$A$5,Tabla1[Energía],"&lt;&gt;""",Tabla1[Fecha],"&lt;="&amp;J$2, Tabla1[Fecha],"&gt;="&amp;J$2-Dashboard!$A$29),
IF($C$6=Dashboard!$A$21,AVERAGEIFS(Tabla1[Fatiga],Tabla1[Nombre],Dashboard!$A$5,Tabla1[Fatiga],"&lt;&gt;""",Tabla1[Fecha],"&lt;="&amp;J$2, Tabla1[Fecha],"&gt;="&amp;J$2-Dashboard!$A$29),
IF($C$7=Dashboard!$A$21,AVERAGEIFS(Tabla1[General],Tabla1[Nombre],Dashboard!$A$5,Tabla1[General],"&lt;&gt;""",Tabla1[Fecha],"&lt;="&amp;J$2, Tabla1[Fecha],"&gt;="&amp;J$2-Dashboard!$A$29),
IF($C$8=Dashboard!$A$21,AVERAGEIFS(Tabla1[Readiness],Tabla1[Nombre],Dashboard!$A$5,Tabla1[Readiness],"&lt;&gt;""",Tabla1[Fecha],"&lt;="&amp;J$2, Tabla1[Fecha],"&gt;="&amp;J$2-Dashboard!$A$29))))))))</f>
        <v>20.166666666666668</v>
      </c>
      <c r="K21" s="12">
        <f>IF($C$2=Dashboard!$A$21,AVERAGEIFS(Tabla1[Estrés],Tabla1[Nombre],Dashboard!$A$5,Tabla1[Estrés],"&lt;&gt;""",Tabla1[Fecha],"&lt;="&amp;K$2, Tabla1[Fecha],"&gt;="&amp;K$2-Dashboard!$A$29),
IF($C$3=Dashboard!$A$21,AVERAGEIFS(Tabla1[Sueño],Tabla1[Nombre],Dashboard!$A$5,Tabla1[Sueño],"&lt;&gt;""",Tabla1[Fecha],"&lt;="&amp;K$2, Tabla1[Fecha],"&gt;="&amp;K$2-Dashboard!$A$29),
IF($C$4=Dashboard!$A$21,AVERAGEIFS(Tabla1[DOMS],Tabla1[Nombre],Dashboard!$A$5,Tabla1[DOMS],"&lt;&gt;""",Tabla1[Fecha],"&lt;="&amp;K$2, Tabla1[Fecha],"&gt;="&amp;K$2-Dashboard!$A$29),
IF($C$5=Dashboard!$A$21,AVERAGEIFS(Tabla1[Energía],Tabla1[Nombre],Dashboard!$A$5,Tabla1[Energía],"&lt;&gt;""",Tabla1[Fecha],"&lt;="&amp;K$2, Tabla1[Fecha],"&gt;="&amp;K$2-Dashboard!$A$29),
IF($C$6=Dashboard!$A$21,AVERAGEIFS(Tabla1[Fatiga],Tabla1[Nombre],Dashboard!$A$5,Tabla1[Fatiga],"&lt;&gt;""",Tabla1[Fecha],"&lt;="&amp;K$2, Tabla1[Fecha],"&gt;="&amp;K$2-Dashboard!$A$29),
IF($C$7=Dashboard!$A$21,AVERAGEIFS(Tabla1[General],Tabla1[Nombre],Dashboard!$A$5,Tabla1[General],"&lt;&gt;""",Tabla1[Fecha],"&lt;="&amp;K$2, Tabla1[Fecha],"&gt;="&amp;K$2-Dashboard!$A$29),
IF($C$8=Dashboard!$A$21,AVERAGEIFS(Tabla1[Readiness],Tabla1[Nombre],Dashboard!$A$5,Tabla1[Readiness],"&lt;&gt;""",Tabla1[Fecha],"&lt;="&amp;K$2, Tabla1[Fecha],"&gt;="&amp;K$2-Dashboard!$A$29))))))))</f>
        <v>21</v>
      </c>
      <c r="L21" s="12">
        <f>IF($C$2=Dashboard!$A$21,AVERAGEIFS(Tabla1[Estrés],Tabla1[Nombre],Dashboard!$A$5,Tabla1[Estrés],"&lt;&gt;""",Tabla1[Fecha],"&lt;="&amp;L$2, Tabla1[Fecha],"&gt;="&amp;L$2-Dashboard!$A$29),
IF($C$3=Dashboard!$A$21,AVERAGEIFS(Tabla1[Sueño],Tabla1[Nombre],Dashboard!$A$5,Tabla1[Sueño],"&lt;&gt;""",Tabla1[Fecha],"&lt;="&amp;L$2, Tabla1[Fecha],"&gt;="&amp;L$2-Dashboard!$A$29),
IF($C$4=Dashboard!$A$21,AVERAGEIFS(Tabla1[DOMS],Tabla1[Nombre],Dashboard!$A$5,Tabla1[DOMS],"&lt;&gt;""",Tabla1[Fecha],"&lt;="&amp;L$2, Tabla1[Fecha],"&gt;="&amp;L$2-Dashboard!$A$29),
IF($C$5=Dashboard!$A$21,AVERAGEIFS(Tabla1[Energía],Tabla1[Nombre],Dashboard!$A$5,Tabla1[Energía],"&lt;&gt;""",Tabla1[Fecha],"&lt;="&amp;L$2, Tabla1[Fecha],"&gt;="&amp;L$2-Dashboard!$A$29),
IF($C$6=Dashboard!$A$21,AVERAGEIFS(Tabla1[Fatiga],Tabla1[Nombre],Dashboard!$A$5,Tabla1[Fatiga],"&lt;&gt;""",Tabla1[Fecha],"&lt;="&amp;L$2, Tabla1[Fecha],"&gt;="&amp;L$2-Dashboard!$A$29),
IF($C$7=Dashboard!$A$21,AVERAGEIFS(Tabla1[General],Tabla1[Nombre],Dashboard!$A$5,Tabla1[General],"&lt;&gt;""",Tabla1[Fecha],"&lt;="&amp;L$2, Tabla1[Fecha],"&gt;="&amp;L$2-Dashboard!$A$29),
IF($C$8=Dashboard!$A$21,AVERAGEIFS(Tabla1[Readiness],Tabla1[Nombre],Dashboard!$A$5,Tabla1[Readiness],"&lt;&gt;""",Tabla1[Fecha],"&lt;="&amp;L$2, Tabla1[Fecha],"&gt;="&amp;L$2-Dashboard!$A$29))))))))</f>
        <v>21.333333333333332</v>
      </c>
      <c r="M21" s="12">
        <f>IF($C$2=Dashboard!$A$21,AVERAGEIFS(Tabla1[Estrés],Tabla1[Nombre],Dashboard!$A$5,Tabla1[Estrés],"&lt;&gt;""",Tabla1[Fecha],"&lt;="&amp;M$2, Tabla1[Fecha],"&gt;="&amp;M$2-Dashboard!$A$29),
IF($C$3=Dashboard!$A$21,AVERAGEIFS(Tabla1[Sueño],Tabla1[Nombre],Dashboard!$A$5,Tabla1[Sueño],"&lt;&gt;""",Tabla1[Fecha],"&lt;="&amp;M$2, Tabla1[Fecha],"&gt;="&amp;M$2-Dashboard!$A$29),
IF($C$4=Dashboard!$A$21,AVERAGEIFS(Tabla1[DOMS],Tabla1[Nombre],Dashboard!$A$5,Tabla1[DOMS],"&lt;&gt;""",Tabla1[Fecha],"&lt;="&amp;M$2, Tabla1[Fecha],"&gt;="&amp;M$2-Dashboard!$A$29),
IF($C$5=Dashboard!$A$21,AVERAGEIFS(Tabla1[Energía],Tabla1[Nombre],Dashboard!$A$5,Tabla1[Energía],"&lt;&gt;""",Tabla1[Fecha],"&lt;="&amp;M$2, Tabla1[Fecha],"&gt;="&amp;M$2-Dashboard!$A$29),
IF($C$6=Dashboard!$A$21,AVERAGEIFS(Tabla1[Fatiga],Tabla1[Nombre],Dashboard!$A$5,Tabla1[Fatiga],"&lt;&gt;""",Tabla1[Fecha],"&lt;="&amp;M$2, Tabla1[Fecha],"&gt;="&amp;M$2-Dashboard!$A$29),
IF($C$7=Dashboard!$A$21,AVERAGEIFS(Tabla1[General],Tabla1[Nombre],Dashboard!$A$5,Tabla1[General],"&lt;&gt;""",Tabla1[Fecha],"&lt;="&amp;M$2, Tabla1[Fecha],"&gt;="&amp;M$2-Dashboard!$A$29),
IF($C$8=Dashboard!$A$21,AVERAGEIFS(Tabla1[Readiness],Tabla1[Nombre],Dashboard!$A$5,Tabla1[Readiness],"&lt;&gt;""",Tabla1[Fecha],"&lt;="&amp;M$2, Tabla1[Fecha],"&gt;="&amp;M$2-Dashboard!$A$29))))))))</f>
        <v>21.428571428571427</v>
      </c>
      <c r="N21" s="12">
        <f>IF($C$2=Dashboard!$A$21,AVERAGEIFS(Tabla1[Estrés],Tabla1[Nombre],Dashboard!$A$5,Tabla1[Estrés],"&lt;&gt;""",Tabla1[Fecha],"&lt;="&amp;N$2, Tabla1[Fecha],"&gt;="&amp;N$2-Dashboard!$A$29),
IF($C$3=Dashboard!$A$21,AVERAGEIFS(Tabla1[Sueño],Tabla1[Nombre],Dashboard!$A$5,Tabla1[Sueño],"&lt;&gt;""",Tabla1[Fecha],"&lt;="&amp;N$2, Tabla1[Fecha],"&gt;="&amp;N$2-Dashboard!$A$29),
IF($C$4=Dashboard!$A$21,AVERAGEIFS(Tabla1[DOMS],Tabla1[Nombre],Dashboard!$A$5,Tabla1[DOMS],"&lt;&gt;""",Tabla1[Fecha],"&lt;="&amp;N$2, Tabla1[Fecha],"&gt;="&amp;N$2-Dashboard!$A$29),
IF($C$5=Dashboard!$A$21,AVERAGEIFS(Tabla1[Energía],Tabla1[Nombre],Dashboard!$A$5,Tabla1[Energía],"&lt;&gt;""",Tabla1[Fecha],"&lt;="&amp;N$2, Tabla1[Fecha],"&gt;="&amp;N$2-Dashboard!$A$29),
IF($C$6=Dashboard!$A$21,AVERAGEIFS(Tabla1[Fatiga],Tabla1[Nombre],Dashboard!$A$5,Tabla1[Fatiga],"&lt;&gt;""",Tabla1[Fecha],"&lt;="&amp;N$2, Tabla1[Fecha],"&gt;="&amp;N$2-Dashboard!$A$29),
IF($C$7=Dashboard!$A$21,AVERAGEIFS(Tabla1[General],Tabla1[Nombre],Dashboard!$A$5,Tabla1[General],"&lt;&gt;""",Tabla1[Fecha],"&lt;="&amp;N$2, Tabla1[Fecha],"&gt;="&amp;N$2-Dashboard!$A$29),
IF($C$8=Dashboard!$A$21,AVERAGEIFS(Tabla1[Readiness],Tabla1[Nombre],Dashboard!$A$5,Tabla1[Readiness],"&lt;&gt;""",Tabla1[Fecha],"&lt;="&amp;N$2, Tabla1[Fecha],"&gt;="&amp;N$2-Dashboard!$A$29))))))))</f>
        <v>21.166666666666668</v>
      </c>
      <c r="O21" s="12">
        <f>IF($C$2=Dashboard!$A$21,AVERAGEIFS(Tabla1[Estrés],Tabla1[Nombre],Dashboard!$A$5,Tabla1[Estrés],"&lt;&gt;""",Tabla1[Fecha],"&lt;="&amp;O$2, Tabla1[Fecha],"&gt;="&amp;O$2-Dashboard!$A$29),
IF($C$3=Dashboard!$A$21,AVERAGEIFS(Tabla1[Sueño],Tabla1[Nombre],Dashboard!$A$5,Tabla1[Sueño],"&lt;&gt;""",Tabla1[Fecha],"&lt;="&amp;O$2, Tabla1[Fecha],"&gt;="&amp;O$2-Dashboard!$A$29),
IF($C$4=Dashboard!$A$21,AVERAGEIFS(Tabla1[DOMS],Tabla1[Nombre],Dashboard!$A$5,Tabla1[DOMS],"&lt;&gt;""",Tabla1[Fecha],"&lt;="&amp;O$2, Tabla1[Fecha],"&gt;="&amp;O$2-Dashboard!$A$29),
IF($C$5=Dashboard!$A$21,AVERAGEIFS(Tabla1[Energía],Tabla1[Nombre],Dashboard!$A$5,Tabla1[Energía],"&lt;&gt;""",Tabla1[Fecha],"&lt;="&amp;O$2, Tabla1[Fecha],"&gt;="&amp;O$2-Dashboard!$A$29),
IF($C$6=Dashboard!$A$21,AVERAGEIFS(Tabla1[Fatiga],Tabla1[Nombre],Dashboard!$A$5,Tabla1[Fatiga],"&lt;&gt;""",Tabla1[Fecha],"&lt;="&amp;O$2, Tabla1[Fecha],"&gt;="&amp;O$2-Dashboard!$A$29),
IF($C$7=Dashboard!$A$21,AVERAGEIFS(Tabla1[General],Tabla1[Nombre],Dashboard!$A$5,Tabla1[General],"&lt;&gt;""",Tabla1[Fecha],"&lt;="&amp;O$2, Tabla1[Fecha],"&gt;="&amp;O$2-Dashboard!$A$29),
IF($C$8=Dashboard!$A$21,AVERAGEIFS(Tabla1[Readiness],Tabla1[Nombre],Dashboard!$A$5,Tabla1[Readiness],"&lt;&gt;""",Tabla1[Fecha],"&lt;="&amp;O$2, Tabla1[Fecha],"&gt;="&amp;O$2-Dashboard!$A$29))))))))</f>
        <v>20.333333333333332</v>
      </c>
    </row>
    <row r="22" spans="5:15" ht="15.75" customHeight="1">
      <c r="E22" s="63" t="s">
        <v>76</v>
      </c>
      <c r="F22" s="12">
        <f>IF(F24="Parcial",F21,NA())</f>
        <v>20.399999999999999</v>
      </c>
      <c r="G22" s="12">
        <f t="shared" ref="G22:O22" si="1">IF(G24="Parcial",G21,NA())</f>
        <v>20.833333333333332</v>
      </c>
      <c r="H22" s="12" t="e">
        <f t="shared" si="1"/>
        <v>#N/A</v>
      </c>
      <c r="I22" s="12" t="e">
        <f t="shared" si="1"/>
        <v>#N/A</v>
      </c>
      <c r="J22" s="12">
        <f t="shared" si="1"/>
        <v>20.166666666666668</v>
      </c>
      <c r="K22" s="12" t="e">
        <f t="shared" si="1"/>
        <v>#N/A</v>
      </c>
      <c r="L22" s="12" t="e">
        <f t="shared" si="1"/>
        <v>#N/A</v>
      </c>
      <c r="M22" s="12" t="e">
        <f t="shared" si="1"/>
        <v>#N/A</v>
      </c>
      <c r="N22" s="12" t="e">
        <f t="shared" si="1"/>
        <v>#N/A</v>
      </c>
      <c r="O22" s="12" t="e">
        <f t="shared" si="1"/>
        <v>#N/A</v>
      </c>
    </row>
    <row r="23" spans="5:15" ht="15.75" customHeight="1">
      <c r="E23" s="63" t="s">
        <v>75</v>
      </c>
      <c r="F23" s="12" t="e">
        <f>IF(F24="Lesión",F21,NA())</f>
        <v>#N/A</v>
      </c>
      <c r="G23" s="12" t="e">
        <f t="shared" ref="G23:O23" si="2">IF(G24="Lesión",G21,NA())</f>
        <v>#N/A</v>
      </c>
      <c r="H23" s="12">
        <f t="shared" si="2"/>
        <v>20.333333333333332</v>
      </c>
      <c r="I23" s="12">
        <f t="shared" si="2"/>
        <v>20.833333333333332</v>
      </c>
      <c r="J23" s="12" t="e">
        <f t="shared" si="2"/>
        <v>#N/A</v>
      </c>
      <c r="K23" s="12" t="e">
        <f t="shared" si="2"/>
        <v>#N/A</v>
      </c>
      <c r="L23" s="12" t="e">
        <f t="shared" si="2"/>
        <v>#N/A</v>
      </c>
      <c r="M23" s="12" t="e">
        <f t="shared" si="2"/>
        <v>#N/A</v>
      </c>
      <c r="N23" s="12" t="e">
        <f t="shared" si="2"/>
        <v>#N/A</v>
      </c>
      <c r="O23" s="12" t="e">
        <f t="shared" si="2"/>
        <v>#N/A</v>
      </c>
    </row>
    <row r="24" spans="5:15" ht="15.75" customHeight="1">
      <c r="E24" s="22" t="s">
        <v>31</v>
      </c>
      <c r="F24" s="12" t="str">
        <f t="array" ref="F24">INDEX(Tabla1[Disponibilidad],MATCH(1,(Dashboard!$A$5=Tabla1[Nombre])*(F19=Tabla1[Fecha]),0))</f>
        <v>Parcial</v>
      </c>
      <c r="G24" s="12" t="str">
        <f t="array" ref="G24">INDEX(Tabla1[Disponibilidad],MATCH(1,(Dashboard!$A$5=Tabla1[Nombre])*(G19=Tabla1[Fecha]),0))</f>
        <v>Parcial</v>
      </c>
      <c r="H24" s="12" t="str">
        <f t="array" ref="H24">INDEX(Tabla1[Disponibilidad],MATCH(1,(Dashboard!$A$5=Tabla1[Nombre])*(H19=Tabla1[Fecha]),0))</f>
        <v>Lesión</v>
      </c>
      <c r="I24" s="12" t="str">
        <f t="array" ref="I24">INDEX(Tabla1[Disponibilidad],MATCH(1,(Dashboard!$A$5=Tabla1[Nombre])*(I19=Tabla1[Fecha]),0))</f>
        <v>Lesión</v>
      </c>
      <c r="J24" s="12" t="str">
        <f t="array" ref="J24">INDEX(Tabla1[Disponibilidad],MATCH(1,(Dashboard!$A$5=Tabla1[Nombre])*(J19=Tabla1[Fecha]),0))</f>
        <v>Parcial</v>
      </c>
      <c r="K24" s="12" t="str">
        <f t="array" ref="K24">INDEX(Tabla1[Disponibilidad],MATCH(1,(Dashboard!$A$5=Tabla1[Nombre])*(K19=Tabla1[Fecha]),0))</f>
        <v>Full</v>
      </c>
      <c r="L24" s="12" t="str">
        <f t="array" ref="L24">INDEX(Tabla1[Disponibilidad],MATCH(1,(Dashboard!$A$5=Tabla1[Nombre])*(L19=Tabla1[Fecha]),0))</f>
        <v>Full</v>
      </c>
      <c r="M24" s="12" t="str">
        <f t="array" ref="M24">INDEX(Tabla1[Disponibilidad],MATCH(1,(Dashboard!$A$5=Tabla1[Nombre])*(M19=Tabla1[Fecha]),0))</f>
        <v>Full</v>
      </c>
      <c r="N24" s="12" t="str">
        <f t="array" ref="N24">INDEX(Tabla1[Disponibilidad],MATCH(1,(Dashboard!$A$5=Tabla1[Nombre])*(N19=Tabla1[Fecha]),0))</f>
        <v>Full</v>
      </c>
      <c r="O24" s="12" t="str">
        <f t="array" ref="O24">INDEX(Tabla1[Disponibilidad],MATCH(1,(Dashboard!$A$5=Tabla1[Nombre])*(O19=Tabla1[Fecha]),0))</f>
        <v>Full</v>
      </c>
    </row>
  </sheetData>
  <conditionalFormatting sqref="C2:D7">
    <cfRule type="colorScale" priority="1">
      <colorScale>
        <cfvo type="formula" val="0"/>
        <cfvo type="formula" val="3"/>
        <cfvo type="formula" val="5"/>
        <color rgb="FFFF0000"/>
        <color rgb="FFFFE599"/>
        <color rgb="FF00FF00"/>
      </colorScale>
    </cfRule>
  </conditionalFormatting>
  <conditionalFormatting sqref="C8:D8">
    <cfRule type="colorScale" priority="2">
      <colorScale>
        <cfvo type="formula" val="6"/>
        <cfvo type="formula" val="18"/>
        <cfvo type="formula" val="30"/>
        <color rgb="FFEA4335"/>
        <color rgb="FFFFE599"/>
        <color rgb="FF00FF00"/>
      </colorScale>
    </cfRule>
  </conditionalFormatting>
  <pageMargins left="0.7" right="0.7" top="0.75" bottom="0.75" header="0.3" footer="0.3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EFCB1-9D7F-4E42-9441-4624A99D2E00}">
  <dimension ref="A1:C5"/>
  <sheetViews>
    <sheetView topLeftCell="S1" zoomScaleNormal="237" workbookViewId="0">
      <selection activeCell="Z19" sqref="Z19"/>
    </sheetView>
  </sheetViews>
  <sheetFormatPr baseColWidth="10" defaultRowHeight="50" customHeight="1"/>
  <cols>
    <col min="1" max="1" width="14.83203125" bestFit="1" customWidth="1"/>
    <col min="2" max="2" width="8.6640625" style="55" customWidth="1"/>
  </cols>
  <sheetData>
    <row r="1" spans="1:3" ht="13">
      <c r="A1" t="s">
        <v>15</v>
      </c>
      <c r="B1" s="55" t="s">
        <v>56</v>
      </c>
    </row>
    <row r="2" spans="1:3" ht="50" customHeight="1">
      <c r="A2" t="s">
        <v>57</v>
      </c>
    </row>
    <row r="3" spans="1:3" ht="50" customHeight="1">
      <c r="A3" t="s">
        <v>58</v>
      </c>
    </row>
    <row r="4" spans="1:3" ht="50" customHeight="1">
      <c r="A4" t="s">
        <v>59</v>
      </c>
      <c r="C4" s="54"/>
    </row>
    <row r="5" spans="1:3" ht="50" customHeight="1">
      <c r="A5" t="s">
        <v>60</v>
      </c>
    </row>
  </sheetData>
  <pageMargins left="0.7" right="0.7" top="0.75" bottom="0.75" header="0.3" footer="0.3"/>
  <pageSetup paperSize="9"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Respuestas de formulario 1</vt:lpstr>
      <vt:lpstr>Dashboard</vt:lpstr>
      <vt:lpstr>Perfil Jugadores</vt:lpstr>
      <vt:lpstr>Ref</vt:lpstr>
      <vt:lpstr>Imagenes</vt:lpstr>
      <vt:lpstr>Dashboard!Área_de_impresión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cp:lastPrinted>2021-07-30T16:30:14Z</cp:lastPrinted>
  <dcterms:modified xsi:type="dcterms:W3CDTF">2021-08-10T18:53:27Z</dcterms:modified>
</cp:coreProperties>
</file>